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xlsx\отчет - ноябрь 2014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2" i="1" l="1"/>
  <c r="G259" i="1"/>
  <c r="G258" i="1"/>
  <c r="G265" i="1" s="1"/>
  <c r="G255" i="1"/>
  <c r="G251" i="1"/>
  <c r="G244" i="1"/>
  <c r="G243" i="1"/>
  <c r="G246" i="1" s="1"/>
  <c r="G232" i="1"/>
  <c r="G231" i="1"/>
  <c r="G230" i="1"/>
  <c r="G227" i="1"/>
  <c r="G220" i="1"/>
  <c r="G217" i="1"/>
  <c r="G216" i="1"/>
  <c r="G211" i="1"/>
  <c r="H208" i="1"/>
  <c r="G204" i="1"/>
  <c r="G203" i="1"/>
  <c r="G202" i="1"/>
  <c r="G208" i="1" s="1"/>
  <c r="G193" i="1"/>
  <c r="G191" i="1"/>
  <c r="G190" i="1"/>
  <c r="G197" i="1" s="1"/>
  <c r="G186" i="1"/>
  <c r="G185" i="1"/>
  <c r="G188" i="1" s="1"/>
  <c r="Q72" i="1" s="1"/>
  <c r="G180" i="1"/>
  <c r="G175" i="1"/>
  <c r="G172" i="1"/>
  <c r="G171" i="1"/>
  <c r="G169" i="1"/>
  <c r="G161" i="1"/>
  <c r="G159" i="1"/>
  <c r="G166" i="1" s="1"/>
  <c r="Q63" i="1" s="1"/>
  <c r="Q147" i="1"/>
  <c r="I147" i="1"/>
  <c r="H147" i="1"/>
  <c r="H148" i="1" s="1"/>
  <c r="I146" i="1"/>
  <c r="G146" i="1"/>
  <c r="I145" i="1"/>
  <c r="G145" i="1"/>
  <c r="I144" i="1"/>
  <c r="G144" i="1"/>
  <c r="F144" i="1"/>
  <c r="F147" i="1" s="1"/>
  <c r="F148" i="1" s="1"/>
  <c r="I143" i="1"/>
  <c r="I142" i="1"/>
  <c r="I141" i="1"/>
  <c r="G141" i="1"/>
  <c r="I140" i="1"/>
  <c r="G140" i="1"/>
  <c r="I139" i="1"/>
  <c r="G139" i="1"/>
  <c r="I138" i="1"/>
  <c r="G138" i="1"/>
  <c r="I137" i="1"/>
  <c r="G137" i="1"/>
  <c r="I136" i="1"/>
  <c r="G136" i="1"/>
  <c r="I135" i="1"/>
  <c r="G135" i="1"/>
  <c r="G147" i="1" s="1"/>
  <c r="R134" i="1"/>
  <c r="H134" i="1"/>
  <c r="F134" i="1"/>
  <c r="I133" i="1"/>
  <c r="G133" i="1"/>
  <c r="I132" i="1"/>
  <c r="G132" i="1"/>
  <c r="I131" i="1"/>
  <c r="G131" i="1"/>
  <c r="Q130" i="1"/>
  <c r="I130" i="1"/>
  <c r="G130" i="1"/>
  <c r="Q129" i="1"/>
  <c r="I129" i="1"/>
  <c r="G129" i="1"/>
  <c r="Q128" i="1"/>
  <c r="I128" i="1"/>
  <c r="G128" i="1"/>
  <c r="Q127" i="1"/>
  <c r="I127" i="1"/>
  <c r="G127" i="1"/>
  <c r="Q126" i="1"/>
  <c r="I126" i="1"/>
  <c r="G126" i="1"/>
  <c r="Q125" i="1"/>
  <c r="I125" i="1"/>
  <c r="G125" i="1"/>
  <c r="Q124" i="1"/>
  <c r="I124" i="1"/>
  <c r="G124" i="1"/>
  <c r="G134" i="1" s="1"/>
  <c r="S134" i="1" s="1"/>
  <c r="Q123" i="1"/>
  <c r="Q134" i="1" s="1"/>
  <c r="I123" i="1"/>
  <c r="G123" i="1"/>
  <c r="I122" i="1"/>
  <c r="I134" i="1" s="1"/>
  <c r="G122" i="1"/>
  <c r="Q121" i="1"/>
  <c r="Q148" i="1" s="1"/>
  <c r="H121" i="1"/>
  <c r="F121" i="1"/>
  <c r="Q120" i="1"/>
  <c r="G120" i="1"/>
  <c r="F120" i="1"/>
  <c r="I120" i="1" s="1"/>
  <c r="I119" i="1"/>
  <c r="G119" i="1"/>
  <c r="F119" i="1"/>
  <c r="Q118" i="1"/>
  <c r="I118" i="1"/>
  <c r="G118" i="1"/>
  <c r="F118" i="1"/>
  <c r="I117" i="1"/>
  <c r="G117" i="1"/>
  <c r="F117" i="1"/>
  <c r="Q116" i="1"/>
  <c r="I116" i="1"/>
  <c r="G116" i="1"/>
  <c r="F116" i="1"/>
  <c r="G115" i="1"/>
  <c r="F115" i="1"/>
  <c r="I115" i="1" s="1"/>
  <c r="I114" i="1"/>
  <c r="I113" i="1"/>
  <c r="I112" i="1"/>
  <c r="G112" i="1"/>
  <c r="I111" i="1"/>
  <c r="G111" i="1"/>
  <c r="I110" i="1"/>
  <c r="I121" i="1" s="1"/>
  <c r="R121" i="1" s="1"/>
  <c r="G110" i="1"/>
  <c r="I109" i="1"/>
  <c r="G109" i="1"/>
  <c r="G97" i="1"/>
  <c r="F97" i="1"/>
  <c r="Q96" i="1"/>
  <c r="I94" i="1"/>
  <c r="D94" i="1"/>
  <c r="D96" i="1" s="1"/>
  <c r="Q93" i="1"/>
  <c r="I91" i="1"/>
  <c r="D91" i="1"/>
  <c r="D93" i="1" s="1"/>
  <c r="Q90" i="1"/>
  <c r="D88" i="1"/>
  <c r="D90" i="1" s="1"/>
  <c r="H85" i="1"/>
  <c r="D85" i="1"/>
  <c r="D87" i="1" s="1"/>
  <c r="Q84" i="1"/>
  <c r="D84" i="1"/>
  <c r="H82" i="1"/>
  <c r="D82" i="1"/>
  <c r="D79" i="1"/>
  <c r="H79" i="1" s="1"/>
  <c r="I79" i="1" s="1"/>
  <c r="Q78" i="1"/>
  <c r="D77" i="1"/>
  <c r="D74" i="1"/>
  <c r="D71" i="1"/>
  <c r="Q69" i="1"/>
  <c r="D68" i="1"/>
  <c r="D65" i="1"/>
  <c r="D63" i="1"/>
  <c r="H61" i="1"/>
  <c r="D61" i="1"/>
  <c r="R45" i="1"/>
  <c r="E45" i="1"/>
  <c r="E50" i="1" s="1"/>
  <c r="R44" i="1"/>
  <c r="R49" i="1" s="1"/>
  <c r="I31" i="1"/>
  <c r="D31" i="1"/>
  <c r="C31" i="1"/>
  <c r="G27" i="1" s="1"/>
  <c r="G28" i="1" s="1"/>
  <c r="N30" i="1"/>
  <c r="M30" i="1"/>
  <c r="I30" i="1"/>
  <c r="K30" i="1" s="1"/>
  <c r="G30" i="1"/>
  <c r="D30" i="1"/>
  <c r="K27" i="1"/>
  <c r="C27" i="1"/>
  <c r="N26" i="1"/>
  <c r="K26" i="1"/>
  <c r="K28" i="1" s="1"/>
  <c r="G26" i="1"/>
  <c r="C26" i="1"/>
  <c r="C28" i="1" s="1"/>
  <c r="R24" i="1"/>
  <c r="N23" i="1"/>
  <c r="M23" i="1"/>
  <c r="I23" i="1"/>
  <c r="K23" i="1" s="1"/>
  <c r="G23" i="1"/>
  <c r="F23" i="1"/>
  <c r="C23" i="1"/>
  <c r="I22" i="1"/>
  <c r="F22" i="1"/>
  <c r="C22" i="1"/>
  <c r="S9" i="1"/>
  <c r="R9" i="1"/>
  <c r="P9" i="1"/>
  <c r="O9" i="1" s="1"/>
  <c r="A40" i="1" s="1"/>
  <c r="N9" i="1"/>
  <c r="B40" i="1" s="1"/>
  <c r="Q8" i="1"/>
  <c r="Q9" i="1" s="1"/>
  <c r="O8" i="1"/>
  <c r="J8" i="1"/>
  <c r="D50" i="1" s="1"/>
  <c r="B45" i="1" l="1"/>
  <c r="B50" i="1" s="1"/>
  <c r="B42" i="1"/>
  <c r="B44" i="1"/>
  <c r="B49" i="1" s="1"/>
  <c r="R50" i="1"/>
  <c r="A44" i="1"/>
  <c r="A45" i="1"/>
  <c r="A42" i="1"/>
  <c r="C24" i="1"/>
  <c r="C44" i="1" s="1"/>
  <c r="C49" i="1" s="1"/>
  <c r="G22" i="1"/>
  <c r="G24" i="1" s="1"/>
  <c r="N22" i="1"/>
  <c r="N24" i="1" s="1"/>
  <c r="K22" i="1"/>
  <c r="K24" i="1" s="1"/>
  <c r="H220" i="1"/>
  <c r="Q81" i="1"/>
  <c r="I61" i="1"/>
  <c r="G121" i="1"/>
  <c r="S121" i="1" s="1"/>
  <c r="S147" i="1"/>
  <c r="S148" i="1" s="1"/>
  <c r="G148" i="1"/>
  <c r="I148" i="1"/>
  <c r="R147" i="1"/>
  <c r="R148" i="1" s="1"/>
  <c r="Q97" i="1"/>
  <c r="I85" i="1"/>
  <c r="N31" i="1"/>
  <c r="N32" i="1" s="1"/>
  <c r="G31" i="1"/>
  <c r="G32" i="1" s="1"/>
  <c r="C32" i="1"/>
  <c r="C50" i="1"/>
  <c r="D76" i="1"/>
  <c r="D70" i="1"/>
  <c r="D64" i="1"/>
  <c r="I82" i="1"/>
  <c r="H197" i="1"/>
  <c r="Q75" i="1"/>
  <c r="G239" i="1"/>
  <c r="Q87" i="1" s="1"/>
  <c r="K31" i="1"/>
  <c r="K32" i="1" s="1"/>
  <c r="N27" i="1"/>
  <c r="N28" i="1" s="1"/>
  <c r="O28" i="1" s="1"/>
  <c r="E49" i="1"/>
  <c r="D67" i="1"/>
  <c r="D73" i="1"/>
  <c r="G173" i="1"/>
  <c r="Q66" i="1" s="1"/>
  <c r="H88" i="1"/>
  <c r="I32" i="1" l="1"/>
  <c r="O32" i="1"/>
  <c r="H73" i="1"/>
  <c r="D75" i="1"/>
  <c r="D78" i="1"/>
  <c r="H76" i="1"/>
  <c r="Q44" i="1"/>
  <c r="Q49" i="1" s="1"/>
  <c r="I24" i="1"/>
  <c r="A50" i="1"/>
  <c r="P45" i="1"/>
  <c r="I88" i="1"/>
  <c r="H67" i="1"/>
  <c r="D69" i="1"/>
  <c r="O24" i="1"/>
  <c r="P44" i="1"/>
  <c r="A49" i="1"/>
  <c r="D66" i="1"/>
  <c r="H64" i="1"/>
  <c r="O47" i="1"/>
  <c r="K47" i="1"/>
  <c r="G47" i="1"/>
  <c r="H47" i="1"/>
  <c r="N47" i="1"/>
  <c r="J47" i="1"/>
  <c r="F47" i="1"/>
  <c r="C42" i="1"/>
  <c r="C47" i="1" s="1"/>
  <c r="R42" i="1"/>
  <c r="R47" i="1" s="1"/>
  <c r="L47" i="1"/>
  <c r="M47" i="1"/>
  <c r="I47" i="1"/>
  <c r="E47" i="1"/>
  <c r="D47" i="1"/>
  <c r="E28" i="1"/>
  <c r="N29" i="1" s="1"/>
  <c r="F24" i="1"/>
  <c r="N25" i="1" s="1"/>
  <c r="C61" i="1"/>
  <c r="I28" i="1"/>
  <c r="B47" i="1"/>
  <c r="D97" i="1"/>
  <c r="D72" i="1"/>
  <c r="H70" i="1"/>
  <c r="C94" i="1"/>
  <c r="C79" i="1"/>
  <c r="D32" i="1"/>
  <c r="N33" i="1" s="1"/>
  <c r="P42" i="1"/>
  <c r="Q42" i="1" s="1"/>
  <c r="Q47" i="1" s="1"/>
  <c r="A47" i="1"/>
  <c r="K61" i="1" l="1"/>
  <c r="P50" i="1"/>
  <c r="I73" i="1"/>
  <c r="H74" i="1"/>
  <c r="H75" i="1" s="1"/>
  <c r="F86" i="1"/>
  <c r="F83" i="1"/>
  <c r="G80" i="1"/>
  <c r="G81" i="1" s="1"/>
  <c r="G95" i="1"/>
  <c r="G96" i="1" s="1"/>
  <c r="G92" i="1"/>
  <c r="G93" i="1" s="1"/>
  <c r="G89" i="1"/>
  <c r="G90" i="1" s="1"/>
  <c r="F80" i="1"/>
  <c r="F95" i="1"/>
  <c r="H80" i="1"/>
  <c r="H81" i="1" s="1"/>
  <c r="G86" i="1"/>
  <c r="G87" i="1" s="1"/>
  <c r="L86" i="1" s="1"/>
  <c r="S87" i="1" s="1"/>
  <c r="F89" i="1"/>
  <c r="G83" i="1"/>
  <c r="G84" i="1" s="1"/>
  <c r="F92" i="1"/>
  <c r="D80" i="1"/>
  <c r="C73" i="1"/>
  <c r="C67" i="1"/>
  <c r="C63" i="1"/>
  <c r="E61" i="1"/>
  <c r="C76" i="1"/>
  <c r="C70" i="1"/>
  <c r="C64" i="1"/>
  <c r="C62" i="1"/>
  <c r="K70" i="1"/>
  <c r="K73" i="1" s="1"/>
  <c r="K76" i="1" s="1"/>
  <c r="P49" i="1"/>
  <c r="S49" i="1" s="1"/>
  <c r="S44" i="1"/>
  <c r="H77" i="1"/>
  <c r="H78" i="1" s="1"/>
  <c r="I76" i="1"/>
  <c r="H72" i="1"/>
  <c r="H71" i="1"/>
  <c r="I70" i="1"/>
  <c r="I67" i="1"/>
  <c r="H69" i="1"/>
  <c r="H68" i="1"/>
  <c r="C91" i="1"/>
  <c r="C88" i="1"/>
  <c r="C81" i="1"/>
  <c r="C80" i="1"/>
  <c r="C85" i="1"/>
  <c r="C82" i="1"/>
  <c r="E79" i="1"/>
  <c r="H95" i="1"/>
  <c r="H96" i="1" s="1"/>
  <c r="H92" i="1"/>
  <c r="H93" i="1" s="1"/>
  <c r="G74" i="1"/>
  <c r="G75" i="1" s="1"/>
  <c r="G68" i="1"/>
  <c r="G69" i="1" s="1"/>
  <c r="F74" i="1"/>
  <c r="F68" i="1"/>
  <c r="G77" i="1"/>
  <c r="G78" i="1" s="1"/>
  <c r="F71" i="1"/>
  <c r="F65" i="1"/>
  <c r="F62" i="1"/>
  <c r="F77" i="1"/>
  <c r="G71" i="1"/>
  <c r="G72" i="1" s="1"/>
  <c r="L71" i="1" s="1"/>
  <c r="S72" i="1" s="1"/>
  <c r="G65" i="1"/>
  <c r="G66" i="1" s="1"/>
  <c r="G62" i="1"/>
  <c r="H83" i="1"/>
  <c r="H84" i="1" s="1"/>
  <c r="H62" i="1"/>
  <c r="H86" i="1"/>
  <c r="H87" i="1" s="1"/>
  <c r="H65" i="1"/>
  <c r="H66" i="1" s="1"/>
  <c r="I64" i="1"/>
  <c r="I97" i="1" s="1"/>
  <c r="H97" i="1"/>
  <c r="H89" i="1"/>
  <c r="H90" i="1" s="1"/>
  <c r="K85" i="1"/>
  <c r="K91" i="1"/>
  <c r="P47" i="1"/>
  <c r="S47" i="1" s="1"/>
  <c r="K94" i="1"/>
  <c r="S42" i="1"/>
  <c r="K88" i="1"/>
  <c r="K79" i="1"/>
  <c r="K82" i="1" s="1"/>
  <c r="E94" i="1"/>
  <c r="Q45" i="1"/>
  <c r="Q50" i="1" s="1"/>
  <c r="H98" i="1" l="1"/>
  <c r="H63" i="1"/>
  <c r="H99" i="1" s="1"/>
  <c r="D81" i="1"/>
  <c r="D99" i="1" s="1"/>
  <c r="D98" i="1"/>
  <c r="L89" i="1"/>
  <c r="S90" i="1" s="1"/>
  <c r="I77" i="1"/>
  <c r="F78" i="1"/>
  <c r="I78" i="1" s="1"/>
  <c r="J76" i="1" s="1"/>
  <c r="L76" i="1" s="1"/>
  <c r="R78" i="1" s="1"/>
  <c r="L77" i="1"/>
  <c r="S78" i="1" s="1"/>
  <c r="L74" i="1"/>
  <c r="S75" i="1" s="1"/>
  <c r="E82" i="1"/>
  <c r="E88" i="1"/>
  <c r="I92" i="1"/>
  <c r="F93" i="1"/>
  <c r="I93" i="1" s="1"/>
  <c r="J91" i="1" s="1"/>
  <c r="L91" i="1" s="1"/>
  <c r="R93" i="1" s="1"/>
  <c r="L92" i="1"/>
  <c r="S93" i="1" s="1"/>
  <c r="F87" i="1"/>
  <c r="I87" i="1" s="1"/>
  <c r="J85" i="1" s="1"/>
  <c r="L85" i="1" s="1"/>
  <c r="R87" i="1" s="1"/>
  <c r="I86" i="1"/>
  <c r="S50" i="1"/>
  <c r="I71" i="1"/>
  <c r="F72" i="1"/>
  <c r="I72" i="1" s="1"/>
  <c r="J70" i="1" s="1"/>
  <c r="L70" i="1" s="1"/>
  <c r="R72" i="1" s="1"/>
  <c r="C66" i="1"/>
  <c r="F84" i="1"/>
  <c r="I84" i="1" s="1"/>
  <c r="J82" i="1" s="1"/>
  <c r="L82" i="1" s="1"/>
  <c r="R84" i="1" s="1"/>
  <c r="I83" i="1"/>
  <c r="G63" i="1"/>
  <c r="G98" i="1"/>
  <c r="F98" i="1"/>
  <c r="F63" i="1"/>
  <c r="I62" i="1"/>
  <c r="F69" i="1"/>
  <c r="I69" i="1" s="1"/>
  <c r="J67" i="1" s="1"/>
  <c r="L67" i="1" s="1"/>
  <c r="R69" i="1" s="1"/>
  <c r="I68" i="1"/>
  <c r="E85" i="1"/>
  <c r="E91" i="1"/>
  <c r="E76" i="1"/>
  <c r="E78" i="1" s="1"/>
  <c r="C75" i="1"/>
  <c r="L83" i="1"/>
  <c r="S84" i="1" s="1"/>
  <c r="I95" i="1"/>
  <c r="F96" i="1"/>
  <c r="I96" i="1" s="1"/>
  <c r="J94" i="1" s="1"/>
  <c r="L94" i="1" s="1"/>
  <c r="R96" i="1" s="1"/>
  <c r="L95" i="1"/>
  <c r="S96" i="1" s="1"/>
  <c r="S45" i="1"/>
  <c r="L65" i="1"/>
  <c r="S66" i="1" s="1"/>
  <c r="I65" i="1"/>
  <c r="F66" i="1"/>
  <c r="I66" i="1" s="1"/>
  <c r="J64" i="1" s="1"/>
  <c r="L64" i="1" s="1"/>
  <c r="R66" i="1" s="1"/>
  <c r="F75" i="1"/>
  <c r="I75" i="1" s="1"/>
  <c r="J73" i="1" s="1"/>
  <c r="L73" i="1" s="1"/>
  <c r="R75" i="1" s="1"/>
  <c r="I74" i="1"/>
  <c r="E80" i="1"/>
  <c r="E81" i="1" s="1"/>
  <c r="C83" i="1"/>
  <c r="C74" i="1"/>
  <c r="E74" i="1" s="1"/>
  <c r="C68" i="1"/>
  <c r="E68" i="1" s="1"/>
  <c r="C77" i="1"/>
  <c r="E77" i="1" s="1"/>
  <c r="E62" i="1"/>
  <c r="E63" i="1" s="1"/>
  <c r="C71" i="1"/>
  <c r="E71" i="1" s="1"/>
  <c r="C65" i="1"/>
  <c r="E65" i="1" s="1"/>
  <c r="E64" i="1"/>
  <c r="E67" i="1"/>
  <c r="C97" i="1"/>
  <c r="I89" i="1"/>
  <c r="F90" i="1"/>
  <c r="I90" i="1" s="1"/>
  <c r="J88" i="1" s="1"/>
  <c r="L88" i="1" s="1"/>
  <c r="R90" i="1" s="1"/>
  <c r="F81" i="1"/>
  <c r="I81" i="1" s="1"/>
  <c r="J79" i="1" s="1"/>
  <c r="L79" i="1" s="1"/>
  <c r="R81" i="1" s="1"/>
  <c r="I80" i="1"/>
  <c r="L80" i="1"/>
  <c r="S81" i="1" s="1"/>
  <c r="K97" i="1"/>
  <c r="K64" i="1"/>
  <c r="K67" i="1" s="1"/>
  <c r="L68" i="1" s="1"/>
  <c r="S69" i="1" s="1"/>
  <c r="E70" i="1" l="1"/>
  <c r="E72" i="1" s="1"/>
  <c r="E66" i="1"/>
  <c r="C78" i="1"/>
  <c r="I98" i="1"/>
  <c r="G99" i="1"/>
  <c r="L62" i="1"/>
  <c r="C86" i="1"/>
  <c r="E83" i="1"/>
  <c r="E73" i="1"/>
  <c r="E75" i="1" s="1"/>
  <c r="E69" i="1"/>
  <c r="F99" i="1"/>
  <c r="I63" i="1"/>
  <c r="C69" i="1"/>
  <c r="E97" i="1"/>
  <c r="C72" i="1"/>
  <c r="C84" i="1"/>
  <c r="E84" i="1" l="1"/>
  <c r="C89" i="1"/>
  <c r="E86" i="1"/>
  <c r="E87" i="1" s="1"/>
  <c r="C87" i="1"/>
  <c r="J61" i="1"/>
  <c r="I99" i="1"/>
  <c r="L98" i="1"/>
  <c r="S63" i="1"/>
  <c r="S97" i="1" s="1"/>
  <c r="S98" i="1" s="1"/>
  <c r="J97" i="1" l="1"/>
  <c r="L61" i="1"/>
  <c r="E89" i="1"/>
  <c r="E90" i="1" s="1"/>
  <c r="C92" i="1"/>
  <c r="C90" i="1"/>
  <c r="R63" i="1" l="1"/>
  <c r="R97" i="1" s="1"/>
  <c r="R98" i="1" s="1"/>
  <c r="L97" i="1"/>
  <c r="E92" i="1"/>
  <c r="C95" i="1"/>
  <c r="C93" i="1"/>
  <c r="C98" i="1"/>
  <c r="E93" i="1" l="1"/>
  <c r="E99" i="1" s="1"/>
  <c r="E98" i="1"/>
  <c r="E95" i="1"/>
  <c r="E96" i="1" s="1"/>
  <c r="C96" i="1"/>
  <c r="C99" i="1" s="1"/>
</calcChain>
</file>

<file path=xl/sharedStrings.xml><?xml version="1.0" encoding="utf-8"?>
<sst xmlns="http://schemas.openxmlformats.org/spreadsheetml/2006/main" count="405" uniqueCount="227">
  <si>
    <t>ДОХОДЫ</t>
  </si>
  <si>
    <t>РАСХОДЫ</t>
  </si>
  <si>
    <t>остаток+</t>
  </si>
  <si>
    <t>КАПИТАЛЬНЫЙ РЕМОНТ</t>
  </si>
  <si>
    <t>начис.</t>
  </si>
  <si>
    <t>оплата</t>
  </si>
  <si>
    <t>дотация</t>
  </si>
  <si>
    <t>ИТОГО:</t>
  </si>
  <si>
    <t>Выполнено кап. ремонт</t>
  </si>
  <si>
    <t>перерасх.-</t>
  </si>
  <si>
    <t>факт</t>
  </si>
  <si>
    <t>вид работ</t>
  </si>
  <si>
    <t>сумма</t>
  </si>
  <si>
    <t>от начисл.</t>
  </si>
  <si>
    <t>от оплаты</t>
  </si>
  <si>
    <t>январь</t>
  </si>
  <si>
    <t>2012г.</t>
  </si>
  <si>
    <t>февраль</t>
  </si>
  <si>
    <t>март</t>
  </si>
  <si>
    <t>апрель</t>
  </si>
  <si>
    <t>май</t>
  </si>
  <si>
    <t>июнь</t>
  </si>
  <si>
    <t>июль</t>
  </si>
  <si>
    <t>ремонт запорной арматуры</t>
  </si>
  <si>
    <t>август</t>
  </si>
  <si>
    <t>32кв.-денежное вознагражд. председателю МКД (июль,август)</t>
  </si>
  <si>
    <t>сентябрь</t>
  </si>
  <si>
    <t>32кв.-денежное вознагражд. председателю МКД (сентябрь)</t>
  </si>
  <si>
    <t>октябрь</t>
  </si>
  <si>
    <t>32кв.-денежное вознагражд. председателю МКД (октябрь,ноябрь.декабрь)</t>
  </si>
  <si>
    <t>ноябрь</t>
  </si>
  <si>
    <t>ремонт межпанельных швов-370м</t>
  </si>
  <si>
    <t>декабрь</t>
  </si>
  <si>
    <t>установка общедомового прибора учёта эл/энергии "Энергосеть"</t>
  </si>
  <si>
    <t>итого:</t>
  </si>
  <si>
    <t>2013г.</t>
  </si>
  <si>
    <t>ремонт инженерных систем</t>
  </si>
  <si>
    <t>32кв.-денежное вознагражд. председателю МКД (январь,февраль)</t>
  </si>
  <si>
    <t>32кв.-денежное вознагражд. председателю МКД</t>
  </si>
  <si>
    <t>2014г.</t>
  </si>
  <si>
    <t>всего:</t>
  </si>
  <si>
    <t>I. ТЕХНИЧЕСКАЯ ХАРАКТЕРИСТИКА ДОМА</t>
  </si>
  <si>
    <t>ЖДПонК</t>
  </si>
  <si>
    <t>оборудован:</t>
  </si>
  <si>
    <t>отоплением, гор. в/сн.; хол. в/сн; канализ.;эл. печами</t>
  </si>
  <si>
    <t>№</t>
  </si>
  <si>
    <t>к-во</t>
  </si>
  <si>
    <t>эт.</t>
  </si>
  <si>
    <t>мате-</t>
  </si>
  <si>
    <t>объём</t>
  </si>
  <si>
    <t>площадь</t>
  </si>
  <si>
    <t>Кровля</t>
  </si>
  <si>
    <t>Убороч. площадь.м2</t>
  </si>
  <si>
    <t>п/п</t>
  </si>
  <si>
    <t>адрес</t>
  </si>
  <si>
    <t>кв.-р</t>
  </si>
  <si>
    <t>риал</t>
  </si>
  <si>
    <t>здания</t>
  </si>
  <si>
    <t>общая</t>
  </si>
  <si>
    <t>жилая</t>
  </si>
  <si>
    <t>не-</t>
  </si>
  <si>
    <t>всего</t>
  </si>
  <si>
    <t>год</t>
  </si>
  <si>
    <t>матер.</t>
  </si>
  <si>
    <t>S,м2</t>
  </si>
  <si>
    <t>дворо-</t>
  </si>
  <si>
    <t>в том числе</t>
  </si>
  <si>
    <t>стен</t>
  </si>
  <si>
    <t>постр.</t>
  </si>
  <si>
    <t>л/кл.</t>
  </si>
  <si>
    <t>вая</t>
  </si>
  <si>
    <t>асф.ул.</t>
  </si>
  <si>
    <t>асф.дв.</t>
  </si>
  <si>
    <t>грунт</t>
  </si>
  <si>
    <t>газон</t>
  </si>
  <si>
    <t>м3</t>
  </si>
  <si>
    <t>м2</t>
  </si>
  <si>
    <t>ул.137ОСБ,9</t>
  </si>
  <si>
    <t>панель</t>
  </si>
  <si>
    <t>безр.</t>
  </si>
  <si>
    <t>c 01.10.2013г. изменение уборочной S</t>
  </si>
  <si>
    <t>норматив  численности</t>
  </si>
  <si>
    <t>протокол № 11 от 16.10.13г.</t>
  </si>
  <si>
    <t>кол-во</t>
  </si>
  <si>
    <t>тр/пр</t>
  </si>
  <si>
    <t>к-во канализац.</t>
  </si>
  <si>
    <t>№ ко-</t>
  </si>
  <si>
    <t>подъез</t>
  </si>
  <si>
    <t>кобр</t>
  </si>
  <si>
    <t>с/о</t>
  </si>
  <si>
    <t>колодцев</t>
  </si>
  <si>
    <t>мунал.</t>
  </si>
  <si>
    <t>дов</t>
  </si>
  <si>
    <t>выпуск</t>
  </si>
  <si>
    <t>внутри-</t>
  </si>
  <si>
    <t>квар-</t>
  </si>
  <si>
    <t>шт.</t>
  </si>
  <si>
    <t>м</t>
  </si>
  <si>
    <t>квартал</t>
  </si>
  <si>
    <t>тиры</t>
  </si>
  <si>
    <t>II. РАСЧЁТ НАЧИСЛЕНИЙ И ЗАТРАТ</t>
  </si>
  <si>
    <t>с июня</t>
  </si>
  <si>
    <t>начисл.содер.мест общего пользов.</t>
  </si>
  <si>
    <t>затраты  на содерж дома (руб/мес)</t>
  </si>
  <si>
    <t>ООО "УКА"</t>
  </si>
  <si>
    <t>тариф(с НДС)</t>
  </si>
  <si>
    <t>план.</t>
  </si>
  <si>
    <t>тариф</t>
  </si>
  <si>
    <t>затраты</t>
  </si>
  <si>
    <t>VII-XII</t>
  </si>
  <si>
    <t>I-VI</t>
  </si>
  <si>
    <t>начисл.</t>
  </si>
  <si>
    <t>с  НДС</t>
  </si>
  <si>
    <t>жилые квартиры</t>
  </si>
  <si>
    <t>нежилое помещение</t>
  </si>
  <si>
    <t>Итого:</t>
  </si>
  <si>
    <t>руб/мес.</t>
  </si>
  <si>
    <t>постоянные затраты,  руб/мес.</t>
  </si>
  <si>
    <t>содерж.</t>
  </si>
  <si>
    <t>содержание</t>
  </si>
  <si>
    <t>сан.техн.</t>
  </si>
  <si>
    <t>авар.</t>
  </si>
  <si>
    <t>выпол.</t>
  </si>
  <si>
    <t>вывоз</t>
  </si>
  <si>
    <t>дворн.</t>
  </si>
  <si>
    <t>уборщиц л.кл.</t>
  </si>
  <si>
    <t>работы</t>
  </si>
  <si>
    <t>обслу-</t>
  </si>
  <si>
    <t>итого</t>
  </si>
  <si>
    <t>тек.</t>
  </si>
  <si>
    <t>ТБО</t>
  </si>
  <si>
    <t>жива-</t>
  </si>
  <si>
    <t>рем.</t>
  </si>
  <si>
    <t>ние</t>
  </si>
  <si>
    <t>c 01.07.14г.</t>
  </si>
  <si>
    <t>c 01.04.14г.</t>
  </si>
  <si>
    <t>c 01.01.14г.</t>
  </si>
  <si>
    <t>затраты на 1 м2</t>
  </si>
  <si>
    <t>Отчёт за 2014г.</t>
  </si>
  <si>
    <t>I.   по содержанию и текущему ремонту мест общего пользования жилого дома № 9 по ул. ОСБ</t>
  </si>
  <si>
    <t>план</t>
  </si>
  <si>
    <t>ИТОГО</t>
  </si>
  <si>
    <t>Всего</t>
  </si>
  <si>
    <t>Постоян.</t>
  </si>
  <si>
    <t>средства</t>
  </si>
  <si>
    <t>Выполнено т. ремонт</t>
  </si>
  <si>
    <t>населен.</t>
  </si>
  <si>
    <t>дотац.</t>
  </si>
  <si>
    <t>на т.рем.</t>
  </si>
  <si>
    <t>остаток 2011 г.</t>
  </si>
  <si>
    <t>остаток 2012 г.</t>
  </si>
  <si>
    <t>остаток 2013 г.</t>
  </si>
  <si>
    <t>в т.ч.          УК</t>
  </si>
  <si>
    <t>ЖЭУ</t>
  </si>
  <si>
    <t>оплачено</t>
  </si>
  <si>
    <t>с остатком</t>
  </si>
  <si>
    <t>Вед.инженер ООО "Управляющей компании Анжерская"</t>
  </si>
  <si>
    <t>И.Н. Христолюбова</t>
  </si>
  <si>
    <t>Сидорова О.В.</t>
  </si>
  <si>
    <t>II.    по капитальному ремонту  жилого дома №  9 по ул. ОСБ</t>
  </si>
  <si>
    <t>15,108кв.(черд.)- восстановление герметизации стыковой стен.</t>
  </si>
  <si>
    <t>панели плиты перекрытия-3м</t>
  </si>
  <si>
    <t>15,108кв.-изоляция примыкания стены и перекрытия,</t>
  </si>
  <si>
    <t>заделка примыкания раствором</t>
  </si>
  <si>
    <t>тех.осмотр инженерного оборудования</t>
  </si>
  <si>
    <t>1,2,3подв.-замена канализ. трубы d100мм-93м</t>
  </si>
  <si>
    <t>32кв.-подв.-ремонт и восст. герм.стыков стен.панелей-2м</t>
  </si>
  <si>
    <t>4под.-утепление стены</t>
  </si>
  <si>
    <t>103кв.-устранение течи гвс</t>
  </si>
  <si>
    <t>5под.3эт.,4,7под.-смена ламп накаливания-2+3+3+2шт.</t>
  </si>
  <si>
    <t>80,53кв.-ремонт групповых эл/щитков</t>
  </si>
  <si>
    <t>очистка  козырьков входных, 5 этажа с а/в от снега</t>
  </si>
  <si>
    <t>23кв.-замена п/сушителя-1м</t>
  </si>
  <si>
    <t>82кв.-замена канализ. трубы d100мм-1м</t>
  </si>
  <si>
    <t>23кв.-замена труб d20мм-1м</t>
  </si>
  <si>
    <t>75кв.-замена труб d75мм-1м</t>
  </si>
  <si>
    <t>2под.-смена ламп накаливания-2шт.</t>
  </si>
  <si>
    <t>78кв.-прочистка засоренных вент. каналов-12м</t>
  </si>
  <si>
    <t>78кв.-ремонт козырька с а/в</t>
  </si>
  <si>
    <t>94кв.-ремонт и восст.гермет.стыков стен. панелей с а/в-12м</t>
  </si>
  <si>
    <t>аварийное обслуживание</t>
  </si>
  <si>
    <t>АДС-05</t>
  </si>
  <si>
    <t>15кв.-ремонт и восст.герметиз.стыков стен.панелей с а/в-29м</t>
  </si>
  <si>
    <t>открытие, закрытие запорной арматуры-гидравл. испытание</t>
  </si>
  <si>
    <t>изготовление и уст-ка межфланцевых заглушек</t>
  </si>
  <si>
    <t>51Акв.-ремонт групповых эл/щитков со сменой автоматов-1шт.</t>
  </si>
  <si>
    <t>51Акв.-монтаж пакетных выключателей-3шт.</t>
  </si>
  <si>
    <t>2,30,46,59,109кв.-ремонт и восст-ие гермет. стыков стеновых панелей</t>
  </si>
  <si>
    <t>с а/в-10+24+18+24+12м</t>
  </si>
  <si>
    <t>108кв.-ремонт  кровли с а/в-12м2</t>
  </si>
  <si>
    <t>95,80,32кв.-развоздушивание стояков гвс-3шт.</t>
  </si>
  <si>
    <t>опрессовка т/у</t>
  </si>
  <si>
    <t>подв.-замена труб d159мм-1м</t>
  </si>
  <si>
    <t>подв.-прочистка внутренней канализации-15м</t>
  </si>
  <si>
    <t>40кв.-замена труб d20мм-2м</t>
  </si>
  <si>
    <t>открытие, закрытие запорной арматуры при плановой остановке  К-Э</t>
  </si>
  <si>
    <t>4под.-ремонт  кровли с а/в-2,3м2</t>
  </si>
  <si>
    <t>95кв.-подв.-ремонт и восст. герм.стыков стен.панелей-12м</t>
  </si>
  <si>
    <t xml:space="preserve"> кв.93 ремонт  козырька</t>
  </si>
  <si>
    <t xml:space="preserve">кв.74 ремонт и восстан. герметизации стыков стеновых панелей  </t>
  </si>
  <si>
    <t>Масляная окраска контейнерной площадки и контейнеров</t>
  </si>
  <si>
    <t>открытие и закрытие запорной арматуры при плановой остановки ТСО</t>
  </si>
  <si>
    <t>ремонт эл/щитка на лестничной площадке кв.77 (по заявке)</t>
  </si>
  <si>
    <t>кв.13,78  ремонт мягкой кровли козырька 5,4+5,4 = 10,80кв.м.</t>
  </si>
  <si>
    <t>кв.109 ремонт стыков стеновых панелей (предписание) 9 пог/м.</t>
  </si>
  <si>
    <t>кв.15,47,64,108 ремонт мягкой кровли 41,5 кв.м.</t>
  </si>
  <si>
    <t>демонтаж межфланцевых заглушек 6шт.</t>
  </si>
  <si>
    <t>развоздушивание стояков отопления 12шт</t>
  </si>
  <si>
    <t>кв.47 замена радиатора  2шт.</t>
  </si>
  <si>
    <t>кв.78 замена стальных труб на металл/полим. Д-20мм 2м</t>
  </si>
  <si>
    <t>заделка повальных приемов кирпичом</t>
  </si>
  <si>
    <t>возврат ден ср-тв за размещение оборудования в МОП</t>
  </si>
  <si>
    <t>ЗАО «Зап-СибТрастелеком»</t>
  </si>
  <si>
    <t>ревизия ВРУ</t>
  </si>
  <si>
    <t>закрытие крышки люков выходов на кровлю</t>
  </si>
  <si>
    <t>кв95 прочистка засоренных вент каналов</t>
  </si>
  <si>
    <t>Кв 107 замена стал труб Д-20мм , 15 м; замена канализ труб Д-110,2,5м</t>
  </si>
  <si>
    <t>кв.77 замена радиатора 3шт</t>
  </si>
  <si>
    <t>аварийное обслуживание кв 53</t>
  </si>
  <si>
    <t>аварийное обслуживание кв 51а,66,104</t>
  </si>
  <si>
    <t>очистка фоновых труб от наледи , очистка козырьков 5 эт от снега</t>
  </si>
  <si>
    <t>95,64 кв прочистка вент каналов</t>
  </si>
  <si>
    <t>очистка водостоков от наледи</t>
  </si>
  <si>
    <t>осмотр подвального помещения</t>
  </si>
  <si>
    <t>83,52,77 кв замена стальных труб на метал пл Д-20мм 6м</t>
  </si>
  <si>
    <t>осмотр эл счетчика 1 кв</t>
  </si>
  <si>
    <t>прочистка внутренней канализ подвал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</si>
</sst>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CCFFFF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339966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CCF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008000"/>
        <bgColor rgb="FF0080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Border="1"/>
    <xf numFmtId="0" fontId="2" fillId="0" borderId="9" xfId="0" applyFont="1" applyBorder="1"/>
    <xf numFmtId="0" fontId="1" fillId="0" borderId="10" xfId="0" applyFont="1" applyBorder="1"/>
    <xf numFmtId="0" fontId="0" fillId="0" borderId="10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Border="1"/>
    <xf numFmtId="0" fontId="2" fillId="0" borderId="6" xfId="0" applyFont="1" applyBorder="1"/>
    <xf numFmtId="0" fontId="2" fillId="2" borderId="4" xfId="0" applyFont="1" applyFill="1" applyBorder="1"/>
    <xf numFmtId="0" fontId="1" fillId="0" borderId="1" xfId="0" applyFont="1" applyBorder="1" applyAlignment="1">
      <alignment horizontal="right"/>
    </xf>
    <xf numFmtId="0" fontId="2" fillId="0" borderId="2" xfId="0" applyFont="1" applyBorder="1"/>
    <xf numFmtId="1" fontId="2" fillId="0" borderId="2" xfId="0" applyNumberFormat="1" applyFont="1" applyBorder="1"/>
    <xf numFmtId="0" fontId="3" fillId="0" borderId="3" xfId="0" applyFont="1" applyBorder="1"/>
    <xf numFmtId="1" fontId="0" fillId="0" borderId="11" xfId="0" applyNumberFormat="1" applyBorder="1"/>
    <xf numFmtId="1" fontId="1" fillId="0" borderId="4" xfId="0" applyNumberFormat="1" applyFont="1" applyBorder="1"/>
    <xf numFmtId="0" fontId="1" fillId="0" borderId="4" xfId="0" applyFont="1" applyBorder="1"/>
    <xf numFmtId="1" fontId="0" fillId="0" borderId="4" xfId="0" applyNumberFormat="1" applyBorder="1"/>
    <xf numFmtId="0" fontId="2" fillId="0" borderId="12" xfId="0" applyFont="1" applyBorder="1"/>
    <xf numFmtId="1" fontId="0" fillId="0" borderId="12" xfId="0" applyNumberFormat="1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1" xfId="0" applyBorder="1"/>
    <xf numFmtId="0" fontId="0" fillId="0" borderId="13" xfId="0" applyBorder="1"/>
    <xf numFmtId="0" fontId="0" fillId="2" borderId="4" xfId="0" applyFill="1" applyBorder="1"/>
    <xf numFmtId="0" fontId="1" fillId="0" borderId="14" xfId="0" applyFont="1" applyBorder="1" applyAlignment="1">
      <alignment horizontal="right"/>
    </xf>
    <xf numFmtId="0" fontId="2" fillId="0" borderId="0" xfId="0" applyFont="1" applyBorder="1"/>
    <xf numFmtId="1" fontId="2" fillId="0" borderId="0" xfId="0" applyNumberFormat="1" applyFont="1" applyBorder="1"/>
    <xf numFmtId="0" fontId="0" fillId="0" borderId="15" xfId="0" applyBorder="1"/>
    <xf numFmtId="1" fontId="1" fillId="0" borderId="10" xfId="0" applyNumberFormat="1" applyFont="1" applyBorder="1"/>
    <xf numFmtId="1" fontId="1" fillId="0" borderId="7" xfId="0" applyNumberFormat="1" applyFont="1" applyBorder="1"/>
    <xf numFmtId="1" fontId="0" fillId="0" borderId="7" xfId="0" applyNumberFormat="1" applyBorder="1"/>
    <xf numFmtId="1" fontId="0" fillId="0" borderId="9" xfId="0" applyNumberFormat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" fontId="0" fillId="0" borderId="10" xfId="0" applyNumberFormat="1" applyBorder="1"/>
    <xf numFmtId="0" fontId="1" fillId="0" borderId="9" xfId="0" applyFont="1" applyBorder="1"/>
    <xf numFmtId="1" fontId="1" fillId="0" borderId="9" xfId="0" applyNumberFormat="1" applyFont="1" applyBorder="1"/>
    <xf numFmtId="0" fontId="1" fillId="0" borderId="9" xfId="0" applyFont="1" applyBorder="1" applyAlignment="1">
      <alignment horizontal="center"/>
    </xf>
    <xf numFmtId="1" fontId="0" fillId="0" borderId="0" xfId="0" applyNumberFormat="1" applyBorder="1"/>
    <xf numFmtId="1" fontId="0" fillId="0" borderId="15" xfId="0" applyNumberFormat="1" applyBorder="1"/>
    <xf numFmtId="1" fontId="1" fillId="0" borderId="12" xfId="0" applyNumberFormat="1" applyFont="1" applyBorder="1"/>
    <xf numFmtId="1" fontId="2" fillId="0" borderId="15" xfId="0" applyNumberFormat="1" applyFont="1" applyBorder="1"/>
    <xf numFmtId="1" fontId="1" fillId="0" borderId="15" xfId="0" applyNumberFormat="1" applyFont="1" applyBorder="1"/>
    <xf numFmtId="1" fontId="1" fillId="0" borderId="6" xfId="0" applyNumberFormat="1" applyFont="1" applyBorder="1"/>
    <xf numFmtId="1" fontId="0" fillId="0" borderId="6" xfId="0" applyNumberFormat="1" applyBorder="1"/>
    <xf numFmtId="0" fontId="1" fillId="0" borderId="14" xfId="0" applyFont="1" applyBorder="1"/>
    <xf numFmtId="1" fontId="0" fillId="0" borderId="2" xfId="0" applyNumberFormat="1" applyBorder="1"/>
    <xf numFmtId="0" fontId="0" fillId="0" borderId="2" xfId="0" applyBorder="1"/>
    <xf numFmtId="0" fontId="0" fillId="0" borderId="3" xfId="0" applyBorder="1"/>
    <xf numFmtId="1" fontId="0" fillId="0" borderId="3" xfId="0" applyNumberFormat="1" applyBorder="1"/>
    <xf numFmtId="0" fontId="0" fillId="0" borderId="1" xfId="0" applyBorder="1"/>
    <xf numFmtId="0" fontId="0" fillId="2" borderId="5" xfId="0" applyFill="1" applyBorder="1"/>
    <xf numFmtId="0" fontId="0" fillId="0" borderId="13" xfId="0" applyBorder="1" applyAlignment="1">
      <alignment horizontal="right"/>
    </xf>
    <xf numFmtId="1" fontId="2" fillId="0" borderId="12" xfId="0" applyNumberFormat="1" applyFont="1" applyBorder="1"/>
    <xf numFmtId="1" fontId="3" fillId="0" borderId="11" xfId="0" applyNumberFormat="1" applyFont="1" applyBorder="1"/>
    <xf numFmtId="1" fontId="3" fillId="2" borderId="4" xfId="0" applyNumberFormat="1" applyFont="1" applyFill="1" applyBorder="1"/>
    <xf numFmtId="1" fontId="3" fillId="0" borderId="4" xfId="0" applyNumberFormat="1" applyFont="1" applyBorder="1"/>
    <xf numFmtId="1" fontId="3" fillId="0" borderId="11" xfId="0" applyNumberFormat="1" applyFont="1" applyFill="1" applyBorder="1" applyAlignment="1">
      <alignment horizontal="right"/>
    </xf>
    <xf numFmtId="1" fontId="1" fillId="0" borderId="13" xfId="0" applyNumberFormat="1" applyFont="1" applyBorder="1"/>
    <xf numFmtId="1" fontId="4" fillId="2" borderId="4" xfId="0" applyNumberFormat="1" applyFont="1" applyFill="1" applyBorder="1"/>
    <xf numFmtId="0" fontId="1" fillId="0" borderId="12" xfId="0" applyFont="1" applyBorder="1"/>
    <xf numFmtId="0" fontId="1" fillId="0" borderId="0" xfId="0" applyFont="1" applyBorder="1"/>
    <xf numFmtId="0" fontId="3" fillId="0" borderId="15" xfId="0" applyFont="1" applyBorder="1"/>
    <xf numFmtId="0" fontId="1" fillId="0" borderId="7" xfId="0" applyFont="1" applyBorder="1"/>
    <xf numFmtId="0" fontId="0" fillId="2" borderId="7" xfId="0" applyFill="1" applyBorder="1"/>
    <xf numFmtId="0" fontId="0" fillId="0" borderId="8" xfId="0" applyBorder="1" applyAlignment="1">
      <alignment horizontal="right"/>
    </xf>
    <xf numFmtId="1" fontId="2" fillId="0" borderId="9" xfId="0" applyNumberFormat="1" applyFont="1" applyBorder="1"/>
    <xf numFmtId="1" fontId="3" fillId="0" borderId="10" xfId="0" applyNumberFormat="1" applyFont="1" applyBorder="1"/>
    <xf numFmtId="1" fontId="3" fillId="0" borderId="10" xfId="0" applyNumberFormat="1" applyFont="1" applyFill="1" applyBorder="1" applyAlignment="1">
      <alignment horizontal="right"/>
    </xf>
    <xf numFmtId="1" fontId="3" fillId="0" borderId="5" xfId="0" applyNumberFormat="1" applyFont="1" applyBorder="1"/>
    <xf numFmtId="1" fontId="1" fillId="0" borderId="1" xfId="0" applyNumberFormat="1" applyFont="1" applyBorder="1"/>
    <xf numFmtId="0" fontId="3" fillId="0" borderId="13" xfId="0" applyFont="1" applyBorder="1" applyAlignment="1">
      <alignment horizontal="center"/>
    </xf>
    <xf numFmtId="1" fontId="4" fillId="3" borderId="7" xfId="0" applyNumberFormat="1" applyFont="1" applyFill="1" applyBorder="1"/>
    <xf numFmtId="1" fontId="4" fillId="3" borderId="4" xfId="0" applyNumberFormat="1" applyFont="1" applyFill="1" applyBorder="1"/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/>
    <xf numFmtId="0" fontId="2" fillId="0" borderId="5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7" xfId="0" applyBorder="1"/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6" fillId="0" borderId="4" xfId="0" applyNumberFormat="1" applyFont="1" applyBorder="1"/>
    <xf numFmtId="0" fontId="6" fillId="0" borderId="4" xfId="0" applyFont="1" applyBorder="1"/>
    <xf numFmtId="0" fontId="6" fillId="0" borderId="0" xfId="0" applyFont="1" applyBorder="1"/>
    <xf numFmtId="0" fontId="1" fillId="0" borderId="13" xfId="0" applyFont="1" applyBorder="1"/>
    <xf numFmtId="2" fontId="0" fillId="0" borderId="4" xfId="0" applyNumberFormat="1" applyBorder="1" applyAlignment="1">
      <alignment horizontal="center"/>
    </xf>
    <xf numFmtId="2" fontId="6" fillId="0" borderId="4" xfId="0" applyNumberFormat="1" applyFont="1" applyBorder="1"/>
    <xf numFmtId="2" fontId="6" fillId="0" borderId="4" xfId="0" applyNumberFormat="1" applyFont="1" applyBorder="1" applyAlignment="1">
      <alignment horizontal="center"/>
    </xf>
    <xf numFmtId="0" fontId="6" fillId="0" borderId="0" xfId="0" applyFont="1"/>
    <xf numFmtId="0" fontId="1" fillId="0" borderId="7" xfId="0" applyFont="1" applyFill="1" applyBorder="1" applyAlignment="1">
      <alignment horizontal="center"/>
    </xf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/>
    <xf numFmtId="2" fontId="1" fillId="0" borderId="0" xfId="0" applyNumberFormat="1" applyFont="1" applyBorder="1"/>
    <xf numFmtId="0" fontId="1" fillId="0" borderId="0" xfId="0" applyFont="1" applyAlignment="1">
      <alignment horizontal="left"/>
    </xf>
    <xf numFmtId="10" fontId="0" fillId="0" borderId="7" xfId="0" applyNumberFormat="1" applyBorder="1" applyAlignment="1">
      <alignment horizontal="center"/>
    </xf>
    <xf numFmtId="0" fontId="0" fillId="0" borderId="4" xfId="0" applyBorder="1"/>
    <xf numFmtId="164" fontId="1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1" fontId="0" fillId="0" borderId="8" xfId="0" applyNumberFormat="1" applyBorder="1"/>
    <xf numFmtId="1" fontId="0" fillId="0" borderId="4" xfId="0" applyNumberForma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7" xfId="0" applyNumberFormat="1" applyBorder="1" applyAlignment="1">
      <alignment horizontal="center"/>
    </xf>
    <xf numFmtId="2" fontId="0" fillId="0" borderId="4" xfId="0" applyNumberFormat="1" applyBorder="1"/>
    <xf numFmtId="164" fontId="3" fillId="0" borderId="4" xfId="0" applyNumberFormat="1" applyFont="1" applyBorder="1"/>
    <xf numFmtId="2" fontId="0" fillId="4" borderId="4" xfId="0" applyNumberFormat="1" applyFill="1" applyBorder="1"/>
    <xf numFmtId="1" fontId="3" fillId="4" borderId="4" xfId="0" applyNumberFormat="1" applyFont="1" applyFill="1" applyBorder="1"/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0" fontId="0" fillId="4" borderId="4" xfId="0" applyFill="1" applyBorder="1"/>
    <xf numFmtId="1" fontId="3" fillId="4" borderId="4" xfId="0" applyNumberFormat="1" applyFont="1" applyFill="1" applyBorder="1" applyAlignment="1">
      <alignment horizontal="right"/>
    </xf>
    <xf numFmtId="1" fontId="3" fillId="0" borderId="0" xfId="0" applyNumberFormat="1" applyFont="1"/>
    <xf numFmtId="165" fontId="0" fillId="0" borderId="4" xfId="0" applyNumberFormat="1" applyBorder="1"/>
    <xf numFmtId="164" fontId="0" fillId="0" borderId="4" xfId="0" applyNumberFormat="1" applyBorder="1" applyAlignment="1">
      <alignment horizontal="center"/>
    </xf>
    <xf numFmtId="1" fontId="0" fillId="0" borderId="13" xfId="0" applyNumberFormat="1" applyBorder="1"/>
    <xf numFmtId="2" fontId="0" fillId="0" borderId="7" xfId="0" applyNumberFormat="1" applyBorder="1"/>
    <xf numFmtId="2" fontId="3" fillId="0" borderId="4" xfId="0" applyNumberFormat="1" applyFont="1" applyBorder="1" applyAlignment="1">
      <alignment horizontal="center"/>
    </xf>
    <xf numFmtId="1" fontId="3" fillId="4" borderId="7" xfId="0" applyNumberFormat="1" applyFont="1" applyFill="1" applyBorder="1"/>
    <xf numFmtId="2" fontId="1" fillId="4" borderId="4" xfId="0" applyNumberFormat="1" applyFont="1" applyFill="1" applyBorder="1" applyAlignment="1">
      <alignment horizontal="center"/>
    </xf>
    <xf numFmtId="0" fontId="3" fillId="0" borderId="4" xfId="0" applyFont="1" applyBorder="1"/>
    <xf numFmtId="2" fontId="1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right"/>
    </xf>
    <xf numFmtId="2" fontId="0" fillId="0" borderId="2" xfId="0" applyNumberFormat="1" applyBorder="1"/>
    <xf numFmtId="1" fontId="0" fillId="0" borderId="0" xfId="0" applyNumberFormat="1"/>
    <xf numFmtId="1" fontId="3" fillId="0" borderId="13" xfId="0" applyNumberFormat="1" applyFont="1" applyBorder="1"/>
    <xf numFmtId="164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right"/>
    </xf>
    <xf numFmtId="1" fontId="3" fillId="4" borderId="13" xfId="0" applyNumberFormat="1" applyFont="1" applyFill="1" applyBorder="1"/>
    <xf numFmtId="164" fontId="3" fillId="4" borderId="11" xfId="0" applyNumberFormat="1" applyFont="1" applyFill="1" applyBorder="1" applyAlignment="1">
      <alignment horizontal="center"/>
    </xf>
    <xf numFmtId="1" fontId="8" fillId="4" borderId="4" xfId="0" applyNumberFormat="1" applyFont="1" applyFill="1" applyBorder="1" applyAlignment="1">
      <alignment horizontal="right"/>
    </xf>
    <xf numFmtId="2" fontId="0" fillId="0" borderId="0" xfId="0" applyNumberFormat="1" applyBorder="1"/>
    <xf numFmtId="2" fontId="9" fillId="0" borderId="0" xfId="0" applyNumberFormat="1" applyFont="1" applyBorder="1"/>
    <xf numFmtId="0" fontId="0" fillId="0" borderId="13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5" xfId="0" applyFont="1" applyBorder="1"/>
    <xf numFmtId="0" fontId="5" fillId="0" borderId="5" xfId="0" applyFont="1" applyBorder="1" applyAlignment="1">
      <alignment horizontal="center"/>
    </xf>
    <xf numFmtId="49" fontId="1" fillId="0" borderId="14" xfId="0" applyNumberFormat="1" applyFont="1" applyBorder="1" applyAlignment="1"/>
    <xf numFmtId="49" fontId="0" fillId="5" borderId="6" xfId="0" applyNumberFormat="1" applyFill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5" borderId="6" xfId="0" applyFill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6" xfId="0" applyFont="1" applyBorder="1"/>
    <xf numFmtId="0" fontId="2" fillId="0" borderId="14" xfId="0" applyFont="1" applyBorder="1"/>
    <xf numFmtId="164" fontId="0" fillId="0" borderId="6" xfId="0" applyNumberFormat="1" applyBorder="1" applyAlignment="1">
      <alignment horizontal="center"/>
    </xf>
    <xf numFmtId="0" fontId="0" fillId="5" borderId="6" xfId="0" applyFill="1" applyBorder="1"/>
    <xf numFmtId="0" fontId="1" fillId="0" borderId="8" xfId="0" applyFont="1" applyBorder="1"/>
    <xf numFmtId="0" fontId="0" fillId="5" borderId="7" xfId="0" applyFill="1" applyBorder="1"/>
    <xf numFmtId="2" fontId="1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1" fontId="1" fillId="0" borderId="7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1" fillId="0" borderId="0" xfId="0" applyNumberFormat="1" applyFont="1"/>
    <xf numFmtId="1" fontId="1" fillId="0" borderId="4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2" fontId="2" fillId="0" borderId="0" xfId="0" applyNumberFormat="1" applyFont="1" applyAlignment="1">
      <alignment horizontal="center"/>
    </xf>
    <xf numFmtId="2" fontId="1" fillId="0" borderId="4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Border="1" applyAlignment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2" xfId="0" applyFont="1" applyFill="1" applyBorder="1" applyAlignment="1">
      <alignment horizontal="center"/>
    </xf>
    <xf numFmtId="1" fontId="2" fillId="0" borderId="3" xfId="0" applyNumberFormat="1" applyFont="1" applyBorder="1"/>
    <xf numFmtId="0" fontId="2" fillId="0" borderId="11" xfId="0" applyFont="1" applyBorder="1"/>
    <xf numFmtId="0" fontId="2" fillId="0" borderId="4" xfId="0" applyFont="1" applyBorder="1"/>
    <xf numFmtId="0" fontId="1" fillId="0" borderId="13" xfId="0" applyFont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4" xfId="0" applyFont="1" applyFill="1" applyBorder="1"/>
    <xf numFmtId="0" fontId="13" fillId="0" borderId="4" xfId="0" applyFont="1" applyBorder="1"/>
    <xf numFmtId="1" fontId="2" fillId="0" borderId="4" xfId="0" applyNumberFormat="1" applyFont="1" applyBorder="1"/>
    <xf numFmtId="0" fontId="14" fillId="0" borderId="4" xfId="0" applyFont="1" applyBorder="1"/>
    <xf numFmtId="0" fontId="0" fillId="4" borderId="12" xfId="0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4" borderId="12" xfId="0" applyFill="1" applyBorder="1"/>
    <xf numFmtId="0" fontId="1" fillId="4" borderId="11" xfId="0" applyFont="1" applyFill="1" applyBorder="1"/>
    <xf numFmtId="0" fontId="0" fillId="4" borderId="11" xfId="0" applyFill="1" applyBorder="1"/>
    <xf numFmtId="1" fontId="2" fillId="0" borderId="11" xfId="0" applyNumberFormat="1" applyFont="1" applyBorder="1"/>
    <xf numFmtId="0" fontId="14" fillId="0" borderId="11" xfId="0" applyFont="1" applyBorder="1"/>
    <xf numFmtId="0" fontId="1" fillId="0" borderId="11" xfId="0" applyFont="1" applyBorder="1"/>
    <xf numFmtId="0" fontId="1" fillId="4" borderId="13" xfId="0" applyFont="1" applyFill="1" applyBorder="1"/>
    <xf numFmtId="1" fontId="1" fillId="0" borderId="11" xfId="0" applyNumberFormat="1" applyFont="1" applyBorder="1"/>
    <xf numFmtId="1" fontId="0" fillId="7" borderId="7" xfId="0" applyNumberFormat="1" applyFill="1" applyBorder="1"/>
    <xf numFmtId="1" fontId="0" fillId="8" borderId="7" xfId="0" applyNumberFormat="1" applyFill="1" applyBorder="1"/>
    <xf numFmtId="0" fontId="2" fillId="0" borderId="6" xfId="0" applyFont="1" applyBorder="1" applyAlignment="1">
      <alignment horizontal="left"/>
    </xf>
    <xf numFmtId="1" fontId="0" fillId="2" borderId="4" xfId="0" applyNumberFormat="1" applyFill="1" applyBorder="1"/>
    <xf numFmtId="0" fontId="2" fillId="7" borderId="6" xfId="0" applyFont="1" applyFill="1" applyBorder="1" applyAlignment="1">
      <alignment horizontal="center"/>
    </xf>
    <xf numFmtId="1" fontId="2" fillId="7" borderId="4" xfId="0" applyNumberFormat="1" applyFont="1" applyFill="1" applyBorder="1"/>
    <xf numFmtId="1" fontId="2" fillId="7" borderId="11" xfId="0" applyNumberFormat="1" applyFont="1" applyFill="1" applyBorder="1"/>
    <xf numFmtId="1" fontId="2" fillId="7" borderId="3" xfId="0" applyNumberFormat="1" applyFont="1" applyFill="1" applyBorder="1"/>
    <xf numFmtId="1" fontId="2" fillId="7" borderId="2" xfId="0" applyNumberFormat="1" applyFont="1" applyFill="1" applyBorder="1"/>
    <xf numFmtId="1" fontId="2" fillId="7" borderId="5" xfId="0" applyNumberFormat="1" applyFont="1" applyFill="1" applyBorder="1"/>
    <xf numFmtId="1" fontId="3" fillId="0" borderId="14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3" fillId="0" borderId="15" xfId="0" applyNumberFormat="1" applyFont="1" applyBorder="1" applyAlignment="1">
      <alignment horizontal="right"/>
    </xf>
    <xf numFmtId="1" fontId="4" fillId="0" borderId="5" xfId="0" applyNumberFormat="1" applyFont="1" applyBorder="1"/>
    <xf numFmtId="1" fontId="4" fillId="2" borderId="5" xfId="0" applyNumberFormat="1" applyFont="1" applyFill="1" applyBorder="1"/>
    <xf numFmtId="1" fontId="0" fillId="7" borderId="4" xfId="0" applyNumberFormat="1" applyFill="1" applyBorder="1"/>
    <xf numFmtId="1" fontId="2" fillId="0" borderId="13" xfId="0" applyNumberFormat="1" applyFont="1" applyBorder="1"/>
    <xf numFmtId="1" fontId="2" fillId="7" borderId="13" xfId="0" applyNumberFormat="1" applyFont="1" applyFill="1" applyBorder="1"/>
    <xf numFmtId="1" fontId="4" fillId="0" borderId="4" xfId="0" applyNumberFormat="1" applyFont="1" applyBorder="1"/>
    <xf numFmtId="1" fontId="0" fillId="7" borderId="8" xfId="0" applyNumberFormat="1" applyFill="1" applyBorder="1"/>
    <xf numFmtId="1" fontId="2" fillId="7" borderId="12" xfId="0" applyNumberFormat="1" applyFont="1" applyFill="1" applyBorder="1"/>
    <xf numFmtId="1" fontId="3" fillId="0" borderId="13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0" fontId="2" fillId="7" borderId="7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1" fontId="4" fillId="0" borderId="12" xfId="0" applyNumberFormat="1" applyFont="1" applyBorder="1"/>
    <xf numFmtId="0" fontId="2" fillId="0" borderId="14" xfId="0" applyFont="1" applyBorder="1" applyAlignment="1">
      <alignment horizontal="center"/>
    </xf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2" fillId="7" borderId="8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3" xfId="0" applyNumberFormat="1" applyFont="1" applyBorder="1"/>
    <xf numFmtId="0" fontId="3" fillId="0" borderId="2" xfId="0" applyFont="1" applyBorder="1"/>
    <xf numFmtId="1" fontId="10" fillId="0" borderId="11" xfId="0" applyNumberFormat="1" applyFont="1" applyBorder="1"/>
    <xf numFmtId="1" fontId="10" fillId="0" borderId="4" xfId="0" applyNumberFormat="1" applyFont="1" applyBorder="1"/>
    <xf numFmtId="1" fontId="3" fillId="2" borderId="13" xfId="0" applyNumberFormat="1" applyFont="1" applyFill="1" applyBorder="1"/>
    <xf numFmtId="0" fontId="3" fillId="2" borderId="13" xfId="0" applyFont="1" applyFill="1" applyBorder="1"/>
    <xf numFmtId="0" fontId="3" fillId="2" borderId="12" xfId="0" applyFont="1" applyFill="1" applyBorder="1"/>
    <xf numFmtId="0" fontId="3" fillId="4" borderId="0" xfId="0" applyFont="1" applyFill="1" applyBorder="1"/>
    <xf numFmtId="0" fontId="10" fillId="4" borderId="0" xfId="0" applyFont="1" applyFill="1" applyBorder="1"/>
    <xf numFmtId="0" fontId="3" fillId="4" borderId="13" xfId="0" applyFont="1" applyFill="1" applyBorder="1"/>
    <xf numFmtId="0" fontId="2" fillId="7" borderId="4" xfId="0" applyFont="1" applyFill="1" applyBorder="1" applyAlignment="1">
      <alignment horizontal="center"/>
    </xf>
    <xf numFmtId="1" fontId="1" fillId="7" borderId="4" xfId="0" applyNumberFormat="1" applyFont="1" applyFill="1" applyBorder="1"/>
    <xf numFmtId="1" fontId="10" fillId="7" borderId="11" xfId="0" applyNumberFormat="1" applyFont="1" applyFill="1" applyBorder="1"/>
    <xf numFmtId="1" fontId="10" fillId="7" borderId="4" xfId="0" applyNumberFormat="1" applyFont="1" applyFill="1" applyBorder="1"/>
    <xf numFmtId="1" fontId="3" fillId="0" borderId="9" xfId="0" applyNumberFormat="1" applyFont="1" applyBorder="1"/>
    <xf numFmtId="0" fontId="3" fillId="0" borderId="13" xfId="0" applyFont="1" applyBorder="1"/>
    <xf numFmtId="0" fontId="3" fillId="0" borderId="12" xfId="0" applyFont="1" applyBorder="1"/>
    <xf numFmtId="1" fontId="3" fillId="0" borderId="0" xfId="0" applyNumberFormat="1" applyFont="1" applyBorder="1"/>
    <xf numFmtId="0" fontId="3" fillId="0" borderId="0" xfId="0" applyFont="1" applyBorder="1"/>
    <xf numFmtId="2" fontId="2" fillId="0" borderId="0" xfId="0" applyNumberFormat="1" applyFont="1" applyBorder="1"/>
    <xf numFmtId="0" fontId="1" fillId="0" borderId="0" xfId="0" applyFont="1"/>
    <xf numFmtId="0" fontId="2" fillId="0" borderId="0" xfId="0" applyFont="1"/>
    <xf numFmtId="0" fontId="3" fillId="0" borderId="13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" fontId="1" fillId="0" borderId="8" xfId="0" applyNumberFormat="1" applyFont="1" applyBorder="1"/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wrapText="1"/>
    </xf>
    <xf numFmtId="1" fontId="1" fillId="0" borderId="3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11" xfId="0" applyFont="1" applyBorder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1" fontId="1" fillId="4" borderId="13" xfId="0" applyNumberFormat="1" applyFont="1" applyFill="1" applyBorder="1"/>
    <xf numFmtId="1" fontId="1" fillId="4" borderId="12" xfId="0" applyNumberFormat="1" applyFont="1" applyFill="1" applyBorder="1"/>
    <xf numFmtId="0" fontId="1" fillId="4" borderId="12" xfId="0" applyFont="1" applyFill="1" applyBorder="1"/>
    <xf numFmtId="0" fontId="3" fillId="4" borderId="11" xfId="0" applyFont="1" applyFill="1" applyBorder="1" applyAlignment="1">
      <alignment horizontal="center"/>
    </xf>
    <xf numFmtId="1" fontId="1" fillId="4" borderId="11" xfId="0" applyNumberFormat="1" applyFont="1" applyFill="1" applyBorder="1"/>
    <xf numFmtId="0" fontId="1" fillId="4" borderId="0" xfId="0" applyFont="1" applyFill="1"/>
    <xf numFmtId="1" fontId="1" fillId="0" borderId="5" xfId="0" applyNumberFormat="1" applyFont="1" applyBorder="1"/>
    <xf numFmtId="1" fontId="14" fillId="0" borderId="5" xfId="0" applyNumberFormat="1" applyFont="1" applyBorder="1"/>
    <xf numFmtId="0" fontId="1" fillId="4" borderId="2" xfId="0" applyFont="1" applyFill="1" applyBorder="1"/>
    <xf numFmtId="1" fontId="1" fillId="4" borderId="5" xfId="0" applyNumberFormat="1" applyFont="1" applyFill="1" applyBorder="1"/>
    <xf numFmtId="1" fontId="0" fillId="4" borderId="0" xfId="0" applyNumberFormat="1" applyFont="1" applyFill="1" applyBorder="1"/>
    <xf numFmtId="1" fontId="1" fillId="4" borderId="0" xfId="0" applyNumberFormat="1" applyFont="1" applyFill="1"/>
    <xf numFmtId="0" fontId="1" fillId="4" borderId="13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1" fontId="0" fillId="4" borderId="4" xfId="0" applyNumberFormat="1" applyFill="1" applyBorder="1"/>
    <xf numFmtId="1" fontId="0" fillId="4" borderId="12" xfId="0" applyNumberFormat="1" applyFont="1" applyFill="1" applyBorder="1"/>
    <xf numFmtId="1" fontId="0" fillId="4" borderId="11" xfId="0" applyNumberFormat="1" applyFill="1" applyBorder="1"/>
    <xf numFmtId="1" fontId="1" fillId="0" borderId="0" xfId="0" applyNumberFormat="1" applyFont="1" applyBorder="1"/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94;.%20&#1082;&#1072;&#1088;&#1090;.&#1046;&#1069;&#1059;-5%202014&#1075;.&#1085;&#1086;&#1103;&#1073;&#1088;&#1100;%20&#1076;&#1077;&#1082;&#1072;&#1073;&#1088;&#1100;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ереч.услуг"/>
      <sheetName val="перечень домов"/>
      <sheetName val="с 01.01.2014 "/>
      <sheetName val="с 01.07.14"/>
      <sheetName val="201 "/>
      <sheetName val="пер.Ворон.2"/>
      <sheetName val="пер.Ворон.3"/>
      <sheetName val="п.Кубанский,1"/>
      <sheetName val="п.Кубанский,3"/>
      <sheetName val="п.Кубанский,5"/>
      <sheetName val="п.Кубанский,6"/>
      <sheetName val="п.Кубанский,7"/>
      <sheetName val="п.Кубанский,8"/>
      <sheetName val="п.Кубанский,10"/>
      <sheetName val="п.Кубанский,11"/>
      <sheetName val="п.Кубанский,11А"/>
      <sheetName val="п.Кубанский,12"/>
      <sheetName val="п.Кубанский,13"/>
      <sheetName val="п.Кубанский,15"/>
      <sheetName val="п.Кубанский,16"/>
      <sheetName val="п.Кубанский,22"/>
      <sheetName val="пер.Элетрич,5"/>
      <sheetName val="п.Электрич,7"/>
      <sheetName val="п.Электрич,7А"/>
      <sheetName val="пер.Элетрич,9"/>
      <sheetName val="пер.Элетрич,14"/>
      <sheetName val="Ванцетти,4"/>
      <sheetName val="Ванц.5"/>
      <sheetName val="ул.Ванцетти,6"/>
      <sheetName val="ул.Ванцетти,7"/>
      <sheetName val="ул.В.Интерн.,7"/>
      <sheetName val="ул.Войкова,3"/>
      <sheetName val="ул.Войкова,5"/>
      <sheetName val="ул.Войкова,28"/>
      <sheetName val="ул.Войкова,30"/>
      <sheetName val="ул.Ворон.79"/>
      <sheetName val="ул.Желябова,1"/>
      <sheetName val="Желябова,3"/>
      <sheetName val="Желябова,11"/>
      <sheetName val="Заречная,16"/>
      <sheetName val="Коммунальная,35"/>
      <sheetName val="Коммунальная,37"/>
      <sheetName val="Коммунальн.,43"/>
      <sheetName val="Кубанская,1"/>
      <sheetName val="Кубанская,2"/>
      <sheetName val="Кубанская,2А"/>
      <sheetName val="Кубанская,4"/>
      <sheetName val="Кубанская,6"/>
      <sheetName val="ул.Куйб.63"/>
      <sheetName val="ул.Куйб.65 "/>
      <sheetName val="М.Горького,3"/>
      <sheetName val="М.ГОрького,24"/>
      <sheetName val="М.ГОрького,26"/>
      <sheetName val="м.Г-31"/>
      <sheetName val="м.Г-32"/>
      <sheetName val="м.Г-34"/>
      <sheetName val="м.Г-36"/>
      <sheetName val="м.Г-38"/>
      <sheetName val="М.ГОрького,40"/>
      <sheetName val="м.Г-62А"/>
      <sheetName val="Монтажников,2"/>
      <sheetName val="Монтажников,4"/>
      <sheetName val="Монтажников,6"/>
      <sheetName val="Монтажников,8"/>
      <sheetName val="Монтажников,10"/>
      <sheetName val="Монтажников,12"/>
      <sheetName val="Монтажников,14"/>
      <sheetName val="Монтажников,16"/>
      <sheetName val="Монтажников,18"/>
      <sheetName val="Угольная,3"/>
      <sheetName val="Угольн.5"/>
      <sheetName val="Урицкого,22"/>
      <sheetName val="Урицкого,48"/>
      <sheetName val="Урицкого,50"/>
      <sheetName val="Урицкого,52"/>
      <sheetName val="Уриц.54"/>
      <sheetName val="Шевченко,1"/>
      <sheetName val="Шевченко,1Г"/>
      <sheetName val="Шевченко,1Д"/>
      <sheetName val="Шевченко,1Е"/>
      <sheetName val="Шевченко,1Ж"/>
      <sheetName val="Шевченко,1З"/>
      <sheetName val="Шевченко,2"/>
      <sheetName val="Южная,3"/>
      <sheetName val="им.137ОСБ,1"/>
      <sheetName val="им.137ОСБ,3"/>
      <sheetName val="137ОСБ,5"/>
      <sheetName val="им.137ОСБ,9"/>
      <sheetName val="137ОСБ,11"/>
      <sheetName val="узл.уч. тэ"/>
      <sheetName val="сводная c 01.07.14г."/>
      <sheetName val="сводная c 01.01.14г. "/>
      <sheetName val="сводная c 01.04.13г."/>
      <sheetName val="свод. (К-Э)"/>
      <sheetName val="сводна (К-Э)"/>
      <sheetName val="кап.рем."/>
      <sheetName val="двор.техн."/>
      <sheetName val="приборы учета"/>
      <sheetName val="для анкеты (6мес.)"/>
    </sheetNames>
    <sheetDataSet>
      <sheetData sheetId="0"/>
      <sheetData sheetId="1"/>
      <sheetData sheetId="2"/>
      <sheetData sheetId="3">
        <row r="3">
          <cell r="H3">
            <v>17805.674999999999</v>
          </cell>
        </row>
        <row r="5">
          <cell r="H5">
            <v>17711</v>
          </cell>
        </row>
        <row r="67">
          <cell r="C67">
            <v>14.87</v>
          </cell>
        </row>
        <row r="68">
          <cell r="C68">
            <v>11.07</v>
          </cell>
        </row>
        <row r="70">
          <cell r="C70">
            <v>11.19</v>
          </cell>
          <cell r="E70">
            <v>0.22</v>
          </cell>
        </row>
        <row r="71">
          <cell r="C71">
            <v>7.3900000000000006</v>
          </cell>
        </row>
        <row r="73">
          <cell r="C73">
            <v>3.68</v>
          </cell>
        </row>
        <row r="107">
          <cell r="C107">
            <v>0.96</v>
          </cell>
        </row>
        <row r="114">
          <cell r="C114">
            <v>0.12</v>
          </cell>
        </row>
      </sheetData>
      <sheetData sheetId="4">
        <row r="3">
          <cell r="G3">
            <v>18851.073</v>
          </cell>
        </row>
        <row r="6">
          <cell r="G6">
            <v>18756</v>
          </cell>
        </row>
        <row r="68">
          <cell r="C68">
            <v>15.76</v>
          </cell>
        </row>
        <row r="69">
          <cell r="C69">
            <v>12.11</v>
          </cell>
        </row>
        <row r="70">
          <cell r="C70">
            <v>12.08</v>
          </cell>
        </row>
        <row r="71">
          <cell r="C71">
            <v>8.43</v>
          </cell>
        </row>
        <row r="72">
          <cell r="C72">
            <v>3.68</v>
          </cell>
        </row>
        <row r="106">
          <cell r="C106">
            <v>1.02</v>
          </cell>
        </row>
        <row r="113">
          <cell r="C113">
            <v>0.12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5"/>
  <sheetViews>
    <sheetView tabSelected="1" workbookViewId="0">
      <selection activeCell="E12" sqref="E12"/>
    </sheetView>
  </sheetViews>
  <sheetFormatPr defaultRowHeight="15" x14ac:dyDescent="0.25"/>
  <cols>
    <col min="1" max="1" width="8.140625" customWidth="1"/>
    <col min="2" max="2" width="21.5703125" customWidth="1"/>
    <col min="3" max="3" width="11.42578125" customWidth="1"/>
    <col min="4" max="4" width="9.140625" customWidth="1"/>
    <col min="5" max="5" width="10.42578125" customWidth="1"/>
    <col min="6" max="6" width="10.140625" customWidth="1"/>
    <col min="7" max="7" width="12.5703125" customWidth="1"/>
    <col min="8" max="8" width="9.140625" customWidth="1"/>
    <col min="9" max="9" width="8.140625" customWidth="1"/>
    <col min="10" max="10" width="11" customWidth="1"/>
    <col min="11" max="11" width="9.140625" customWidth="1"/>
    <col min="12" max="12" width="8.5703125" customWidth="1"/>
    <col min="13" max="13" width="10.7109375" customWidth="1"/>
    <col min="14" max="14" width="9.85546875" customWidth="1"/>
    <col min="15" max="15" width="8" customWidth="1"/>
    <col min="16" max="16" width="8.140625" customWidth="1"/>
    <col min="17" max="18" width="9.140625" customWidth="1"/>
    <col min="19" max="19" width="9.42578125" customWidth="1"/>
    <col min="20" max="20" width="7.5703125" customWidth="1"/>
    <col min="21" max="21" width="8" customWidth="1"/>
    <col min="22" max="22" width="8.85546875" customWidth="1"/>
    <col min="23" max="1024" width="9.140625" customWidth="1"/>
  </cols>
  <sheetData>
    <row r="2" spans="1:20" x14ac:dyDescent="0.25">
      <c r="B2" s="87" t="s">
        <v>41</v>
      </c>
      <c r="C2" s="87"/>
      <c r="D2" s="87"/>
      <c r="E2" s="87"/>
      <c r="F2" s="87"/>
      <c r="G2" s="88"/>
      <c r="H2" t="s">
        <v>42</v>
      </c>
      <c r="J2" t="s">
        <v>43</v>
      </c>
      <c r="L2" t="s">
        <v>44</v>
      </c>
    </row>
    <row r="4" spans="1:20" x14ac:dyDescent="0.25">
      <c r="A4" s="89" t="s">
        <v>45</v>
      </c>
      <c r="B4" s="89"/>
      <c r="C4" s="90" t="s">
        <v>46</v>
      </c>
      <c r="D4" s="1" t="s">
        <v>47</v>
      </c>
      <c r="E4" s="8" t="s">
        <v>48</v>
      </c>
      <c r="F4" s="3" t="s">
        <v>49</v>
      </c>
      <c r="G4" s="10" t="s">
        <v>50</v>
      </c>
      <c r="H4" s="10"/>
      <c r="I4" s="10"/>
      <c r="J4" s="10"/>
      <c r="K4" s="91"/>
      <c r="L4" s="5" t="s">
        <v>51</v>
      </c>
      <c r="M4" s="5"/>
      <c r="N4" s="92" t="s">
        <v>52</v>
      </c>
      <c r="O4" s="92"/>
      <c r="P4" s="92"/>
      <c r="Q4" s="92"/>
      <c r="R4" s="92"/>
      <c r="S4" s="61"/>
    </row>
    <row r="5" spans="1:20" x14ac:dyDescent="0.25">
      <c r="A5" s="93" t="s">
        <v>53</v>
      </c>
      <c r="B5" s="93" t="s">
        <v>54</v>
      </c>
      <c r="C5" s="94" t="s">
        <v>55</v>
      </c>
      <c r="D5" s="95"/>
      <c r="E5" s="93" t="s">
        <v>56</v>
      </c>
      <c r="F5" s="96" t="s">
        <v>57</v>
      </c>
      <c r="G5" s="89" t="s">
        <v>58</v>
      </c>
      <c r="H5" s="89" t="s">
        <v>59</v>
      </c>
      <c r="I5" s="89" t="s">
        <v>60</v>
      </c>
      <c r="J5" s="8" t="s">
        <v>61</v>
      </c>
      <c r="K5" s="93" t="s">
        <v>62</v>
      </c>
      <c r="L5" s="4" t="s">
        <v>63</v>
      </c>
      <c r="M5" s="1" t="s">
        <v>64</v>
      </c>
      <c r="N5" s="93"/>
      <c r="O5" s="95" t="s">
        <v>65</v>
      </c>
      <c r="P5" s="92" t="s">
        <v>66</v>
      </c>
      <c r="Q5" s="92"/>
      <c r="R5" s="92"/>
      <c r="S5" s="33"/>
    </row>
    <row r="6" spans="1:20" x14ac:dyDescent="0.25">
      <c r="A6" s="93"/>
      <c r="B6" s="93"/>
      <c r="C6" s="94"/>
      <c r="D6" s="95"/>
      <c r="E6" s="93" t="s">
        <v>67</v>
      </c>
      <c r="F6" s="96"/>
      <c r="G6" s="93"/>
      <c r="H6" s="93"/>
      <c r="I6" s="93" t="s">
        <v>59</v>
      </c>
      <c r="J6" s="97"/>
      <c r="K6" s="93" t="s">
        <v>68</v>
      </c>
      <c r="L6" s="98"/>
      <c r="M6" s="95"/>
      <c r="N6" s="93" t="s">
        <v>69</v>
      </c>
      <c r="O6" s="93" t="s">
        <v>70</v>
      </c>
      <c r="P6" s="98" t="s">
        <v>71</v>
      </c>
      <c r="Q6" s="98" t="s">
        <v>72</v>
      </c>
      <c r="R6" s="98" t="s">
        <v>73</v>
      </c>
      <c r="S6" s="93" t="s">
        <v>74</v>
      </c>
    </row>
    <row r="7" spans="1:20" x14ac:dyDescent="0.25">
      <c r="A7" s="16"/>
      <c r="B7" s="16"/>
      <c r="C7" s="99"/>
      <c r="D7" s="100"/>
      <c r="E7" s="101"/>
      <c r="F7" s="50" t="s">
        <v>75</v>
      </c>
      <c r="G7" s="16" t="s">
        <v>76</v>
      </c>
      <c r="H7" s="16" t="s">
        <v>76</v>
      </c>
      <c r="I7" s="101"/>
      <c r="J7" s="102"/>
      <c r="K7" s="102"/>
      <c r="L7" s="15"/>
      <c r="M7" s="103"/>
      <c r="N7" s="16">
        <v>790</v>
      </c>
      <c r="O7" s="16"/>
      <c r="P7" s="16">
        <v>3630</v>
      </c>
      <c r="Q7" s="15">
        <v>3630</v>
      </c>
      <c r="R7" s="16">
        <v>2340</v>
      </c>
      <c r="S7" s="16">
        <v>30000</v>
      </c>
    </row>
    <row r="8" spans="1:20" x14ac:dyDescent="0.25">
      <c r="A8" s="101"/>
      <c r="B8" s="104" t="s">
        <v>77</v>
      </c>
      <c r="C8" s="105">
        <v>109</v>
      </c>
      <c r="D8" s="106">
        <v>5</v>
      </c>
      <c r="E8" s="106" t="s">
        <v>78</v>
      </c>
      <c r="F8" s="106">
        <v>21498</v>
      </c>
      <c r="G8" s="106">
        <v>6190.3</v>
      </c>
      <c r="H8" s="106">
        <v>3529</v>
      </c>
      <c r="I8" s="106"/>
      <c r="J8" s="106">
        <f>G8+I8</f>
        <v>6190.3</v>
      </c>
      <c r="K8" s="106"/>
      <c r="L8" s="106" t="s">
        <v>79</v>
      </c>
      <c r="M8" s="106">
        <v>1549.3</v>
      </c>
      <c r="N8" s="106">
        <v>664.3</v>
      </c>
      <c r="O8" s="107">
        <f>P8+Q8+R8+S8</f>
        <v>2728.5</v>
      </c>
      <c r="P8" s="108"/>
      <c r="Q8" s="105">
        <f>476.6+821.1</f>
        <v>1297.7</v>
      </c>
      <c r="R8" s="108"/>
      <c r="S8" s="108">
        <v>1430.8</v>
      </c>
      <c r="T8" s="109" t="s">
        <v>80</v>
      </c>
    </row>
    <row r="9" spans="1:20" x14ac:dyDescent="0.25">
      <c r="B9" s="110" t="s">
        <v>81</v>
      </c>
      <c r="C9" s="32"/>
      <c r="D9" s="32"/>
      <c r="E9" s="32"/>
      <c r="F9" s="32"/>
      <c r="G9" s="106"/>
      <c r="H9" s="32"/>
      <c r="I9" s="32"/>
      <c r="J9" s="32"/>
      <c r="K9" s="32"/>
      <c r="L9" s="32"/>
      <c r="M9" s="33"/>
      <c r="N9" s="111">
        <f>N8/N7</f>
        <v>0.84088607594936704</v>
      </c>
      <c r="O9" s="112">
        <f>P9+Q9+R9+S9</f>
        <v>0.40518644628099171</v>
      </c>
      <c r="P9" s="113">
        <f>P8/P7</f>
        <v>0</v>
      </c>
      <c r="Q9" s="113">
        <f>Q8/Q7</f>
        <v>0.3574931129476584</v>
      </c>
      <c r="R9" s="113">
        <f>R8/R7</f>
        <v>0</v>
      </c>
      <c r="S9" s="113">
        <f>S8/S7</f>
        <v>4.7693333333333331E-2</v>
      </c>
      <c r="T9" s="114" t="s">
        <v>82</v>
      </c>
    </row>
    <row r="10" spans="1:20" x14ac:dyDescent="0.25">
      <c r="J10" s="109"/>
      <c r="K10" s="114"/>
      <c r="L10" s="114"/>
      <c r="M10" s="114"/>
    </row>
    <row r="11" spans="1:20" x14ac:dyDescent="0.25">
      <c r="C11" s="89" t="s">
        <v>83</v>
      </c>
      <c r="D11" s="90" t="s">
        <v>83</v>
      </c>
      <c r="E11" s="89" t="s">
        <v>84</v>
      </c>
      <c r="F11" s="10" t="s">
        <v>85</v>
      </c>
      <c r="G11" s="10"/>
      <c r="H11" s="89" t="s">
        <v>86</v>
      </c>
      <c r="J11" s="114"/>
      <c r="K11" s="114"/>
      <c r="L11" s="114"/>
    </row>
    <row r="12" spans="1:20" x14ac:dyDescent="0.25">
      <c r="C12" s="93" t="s">
        <v>87</v>
      </c>
      <c r="D12" s="94" t="s">
        <v>88</v>
      </c>
      <c r="E12" s="93" t="s">
        <v>89</v>
      </c>
      <c r="F12" s="115" t="s">
        <v>90</v>
      </c>
      <c r="G12" s="115"/>
      <c r="H12" s="93" t="s">
        <v>91</v>
      </c>
      <c r="Q12" s="96"/>
    </row>
    <row r="13" spans="1:20" x14ac:dyDescent="0.25">
      <c r="C13" s="93" t="s">
        <v>92</v>
      </c>
      <c r="D13" s="94"/>
      <c r="E13" s="93"/>
      <c r="F13" s="8" t="s">
        <v>93</v>
      </c>
      <c r="G13" s="116" t="s">
        <v>94</v>
      </c>
      <c r="H13" s="93" t="s">
        <v>95</v>
      </c>
      <c r="Q13" s="117"/>
    </row>
    <row r="14" spans="1:20" x14ac:dyDescent="0.25">
      <c r="C14" s="16" t="s">
        <v>96</v>
      </c>
      <c r="D14" s="101"/>
      <c r="E14" s="16" t="s">
        <v>97</v>
      </c>
      <c r="F14" s="101"/>
      <c r="G14" s="14" t="s">
        <v>98</v>
      </c>
      <c r="H14" s="16" t="s">
        <v>99</v>
      </c>
      <c r="Q14" s="118"/>
    </row>
    <row r="15" spans="1:20" x14ac:dyDescent="0.25">
      <c r="C15" s="16">
        <v>7</v>
      </c>
      <c r="D15" s="101">
        <v>2</v>
      </c>
      <c r="E15" s="119">
        <v>2014.28</v>
      </c>
      <c r="F15" s="119">
        <v>5</v>
      </c>
      <c r="G15" s="119">
        <v>1.7</v>
      </c>
      <c r="H15" s="76"/>
    </row>
    <row r="16" spans="1:20" x14ac:dyDescent="0.25">
      <c r="R16" s="120"/>
    </row>
    <row r="17" spans="1:21" x14ac:dyDescent="0.25">
      <c r="B17" s="87" t="s">
        <v>100</v>
      </c>
      <c r="R17" s="121" t="s">
        <v>101</v>
      </c>
    </row>
    <row r="18" spans="1:21" x14ac:dyDescent="0.25">
      <c r="R18" s="18"/>
    </row>
    <row r="19" spans="1:21" x14ac:dyDescent="0.25">
      <c r="A19" s="1"/>
      <c r="B19" s="89"/>
      <c r="C19" s="3"/>
      <c r="D19" s="5" t="s">
        <v>102</v>
      </c>
      <c r="E19" s="5"/>
      <c r="F19" s="5"/>
      <c r="G19" s="5"/>
      <c r="H19" s="89"/>
      <c r="I19" s="5" t="s">
        <v>103</v>
      </c>
      <c r="J19" s="5"/>
      <c r="K19" s="5"/>
      <c r="L19" s="5"/>
      <c r="M19" s="5" t="s">
        <v>104</v>
      </c>
      <c r="N19" s="5"/>
      <c r="O19" s="18"/>
      <c r="P19" s="122"/>
      <c r="R19" s="89"/>
    </row>
    <row r="20" spans="1:21" x14ac:dyDescent="0.25">
      <c r="A20" s="95"/>
      <c r="B20" s="93"/>
      <c r="C20" s="117" t="s">
        <v>64</v>
      </c>
      <c r="D20" s="5" t="s">
        <v>105</v>
      </c>
      <c r="E20" s="5"/>
      <c r="F20" s="5"/>
      <c r="G20" s="93" t="s">
        <v>106</v>
      </c>
      <c r="H20" s="93"/>
      <c r="I20" s="93" t="s">
        <v>107</v>
      </c>
      <c r="J20" s="93"/>
      <c r="K20" s="93" t="s">
        <v>108</v>
      </c>
      <c r="L20" s="89"/>
      <c r="M20" s="93" t="s">
        <v>107</v>
      </c>
      <c r="N20" s="93" t="s">
        <v>108</v>
      </c>
      <c r="O20" s="96"/>
      <c r="P20" s="122"/>
      <c r="R20" s="93" t="s">
        <v>64</v>
      </c>
    </row>
    <row r="21" spans="1:21" x14ac:dyDescent="0.25">
      <c r="A21" s="103"/>
      <c r="B21" s="16"/>
      <c r="C21" s="50"/>
      <c r="D21" s="106" t="s">
        <v>109</v>
      </c>
      <c r="E21" s="106"/>
      <c r="F21" s="106" t="s">
        <v>110</v>
      </c>
      <c r="G21" s="16" t="s">
        <v>111</v>
      </c>
      <c r="H21" s="119"/>
      <c r="I21" s="101" t="s">
        <v>112</v>
      </c>
      <c r="J21" s="101"/>
      <c r="K21" s="101"/>
      <c r="L21" s="101"/>
      <c r="M21" s="101" t="s">
        <v>112</v>
      </c>
      <c r="N21" s="123"/>
      <c r="O21" s="18"/>
      <c r="P21" s="122"/>
      <c r="R21" s="16"/>
    </row>
    <row r="22" spans="1:21" x14ac:dyDescent="0.25">
      <c r="A22" s="124"/>
      <c r="B22" s="27" t="s">
        <v>113</v>
      </c>
      <c r="C22" s="125">
        <f>G8</f>
        <v>6190.3</v>
      </c>
      <c r="D22" s="27"/>
      <c r="E22" s="27"/>
      <c r="F22" s="126">
        <f>'[1]с 01.01.2014 '!C67</f>
        <v>14.87</v>
      </c>
      <c r="G22" s="26">
        <f>C22*F22</f>
        <v>92049.760999999999</v>
      </c>
      <c r="H22" s="127"/>
      <c r="I22" s="111">
        <f>'[1]с 01.01.2014 '!C70</f>
        <v>11.19</v>
      </c>
      <c r="J22" s="124"/>
      <c r="K22" s="128">
        <f>I22*C22</f>
        <v>69269.456999999995</v>
      </c>
      <c r="L22" s="124"/>
      <c r="M22" s="2"/>
      <c r="N22" s="129">
        <f>$M$23*C22</f>
        <v>22780.304</v>
      </c>
      <c r="O22" s="18"/>
      <c r="P22" s="122"/>
      <c r="R22" s="130">
        <v>6192.5</v>
      </c>
    </row>
    <row r="23" spans="1:21" x14ac:dyDescent="0.25">
      <c r="A23" s="124"/>
      <c r="B23" s="27" t="s">
        <v>114</v>
      </c>
      <c r="C23" s="124">
        <f>I8</f>
        <v>0</v>
      </c>
      <c r="D23" s="27"/>
      <c r="E23" s="27"/>
      <c r="F23" s="131">
        <f>'[1]с 01.01.2014 '!C68</f>
        <v>11.07</v>
      </c>
      <c r="G23" s="26">
        <f>C23*F23</f>
        <v>0</v>
      </c>
      <c r="H23" s="127"/>
      <c r="I23" s="132">
        <f>'[1]с 01.01.2014 '!C71</f>
        <v>7.3900000000000006</v>
      </c>
      <c r="J23" s="27"/>
      <c r="K23" s="128">
        <f>I23*C23</f>
        <v>0</v>
      </c>
      <c r="L23" s="27"/>
      <c r="M23" s="133">
        <f>'[1]с 01.01.2014 '!C73</f>
        <v>3.68</v>
      </c>
      <c r="N23" s="129">
        <f>$M$23*C23</f>
        <v>0</v>
      </c>
      <c r="O23" s="18"/>
      <c r="P23" s="122"/>
      <c r="R23" s="124"/>
    </row>
    <row r="24" spans="1:21" x14ac:dyDescent="0.25">
      <c r="A24" s="124" t="s">
        <v>115</v>
      </c>
      <c r="B24" s="27"/>
      <c r="C24" s="134">
        <f>C22+C23</f>
        <v>6190.3</v>
      </c>
      <c r="D24" s="27"/>
      <c r="E24" s="27"/>
      <c r="F24" s="135">
        <f>G24/C24</f>
        <v>14.87</v>
      </c>
      <c r="G24" s="136">
        <f>G22+G23</f>
        <v>92049.760999999999</v>
      </c>
      <c r="H24" s="137"/>
      <c r="I24" s="138">
        <f>K24/C24</f>
        <v>11.19</v>
      </c>
      <c r="J24" s="139"/>
      <c r="K24" s="140">
        <f>K22+K23</f>
        <v>69269.456999999995</v>
      </c>
      <c r="L24" s="139"/>
      <c r="M24" s="139"/>
      <c r="N24" s="136">
        <f>SUM(N22:N23)</f>
        <v>22780.304</v>
      </c>
      <c r="O24" s="141">
        <f>N24+K24</f>
        <v>92049.760999999999</v>
      </c>
      <c r="P24" t="s">
        <v>116</v>
      </c>
      <c r="R24" s="134">
        <f>R22+R23</f>
        <v>6192.5</v>
      </c>
    </row>
    <row r="25" spans="1:21" x14ac:dyDescent="0.25">
      <c r="A25" s="101"/>
      <c r="B25" s="101"/>
      <c r="C25" s="119"/>
      <c r="D25" s="76"/>
      <c r="E25" s="76"/>
      <c r="F25" s="50"/>
      <c r="G25" s="119"/>
      <c r="H25" s="16"/>
      <c r="I25" s="101"/>
      <c r="J25" s="101"/>
      <c r="K25" s="12"/>
      <c r="L25" s="101"/>
      <c r="M25" s="101"/>
      <c r="N25" s="142">
        <f>M23/F24</f>
        <v>0.24747814391392067</v>
      </c>
      <c r="O25" s="18"/>
      <c r="P25" s="122"/>
      <c r="R25" s="127"/>
    </row>
    <row r="26" spans="1:21" x14ac:dyDescent="0.25">
      <c r="A26" s="124"/>
      <c r="B26" s="27" t="s">
        <v>113</v>
      </c>
      <c r="C26" s="143">
        <f>G8</f>
        <v>6190.3</v>
      </c>
      <c r="D26" s="124"/>
      <c r="E26" s="133"/>
      <c r="F26" s="124"/>
      <c r="G26" s="28">
        <f>C30*E26</f>
        <v>0</v>
      </c>
      <c r="H26" s="124"/>
      <c r="I26" s="111"/>
      <c r="J26" s="106"/>
      <c r="K26" s="144">
        <f>I26*$C$30</f>
        <v>0</v>
      </c>
      <c r="L26" s="124"/>
      <c r="M26" s="124"/>
      <c r="N26" s="28">
        <f>C30*$M$27</f>
        <v>0</v>
      </c>
      <c r="O26" s="18"/>
      <c r="P26" s="51"/>
      <c r="Q26" s="18"/>
      <c r="R26" s="18"/>
      <c r="S26" s="18"/>
      <c r="T26" s="18"/>
    </row>
    <row r="27" spans="1:21" x14ac:dyDescent="0.25">
      <c r="A27" s="124"/>
      <c r="B27" s="27" t="s">
        <v>114</v>
      </c>
      <c r="C27" s="132">
        <f>I8</f>
        <v>0</v>
      </c>
      <c r="D27" s="27"/>
      <c r="E27" s="145"/>
      <c r="F27" s="27"/>
      <c r="G27" s="42">
        <f>C31*E27</f>
        <v>0</v>
      </c>
      <c r="H27" s="27"/>
      <c r="I27" s="132"/>
      <c r="J27" s="127"/>
      <c r="K27" s="144">
        <f>I27*$C$31</f>
        <v>0</v>
      </c>
      <c r="L27" s="124"/>
      <c r="M27" s="133"/>
      <c r="N27" s="42">
        <f>C31*$M$27</f>
        <v>0</v>
      </c>
      <c r="O27" s="18"/>
      <c r="P27" s="51"/>
      <c r="Q27" s="18"/>
      <c r="R27" s="18"/>
      <c r="S27" s="18"/>
      <c r="T27" s="18"/>
    </row>
    <row r="28" spans="1:21" x14ac:dyDescent="0.25">
      <c r="A28" s="124" t="s">
        <v>115</v>
      </c>
      <c r="B28" s="27"/>
      <c r="C28" s="146">
        <f>SUM(C26:C27)</f>
        <v>6190.3</v>
      </c>
      <c r="D28" s="27"/>
      <c r="E28" s="135">
        <f>G28/C32</f>
        <v>0</v>
      </c>
      <c r="F28" s="27"/>
      <c r="G28" s="147">
        <f>SUM(G26:G27)</f>
        <v>0</v>
      </c>
      <c r="H28" s="139"/>
      <c r="I28" s="148">
        <f>K28/$C$32</f>
        <v>0</v>
      </c>
      <c r="J28" s="137"/>
      <c r="K28" s="136">
        <f>SUM(K26:K27)</f>
        <v>0</v>
      </c>
      <c r="L28" s="139"/>
      <c r="M28" s="139"/>
      <c r="N28" s="136">
        <f>SUM(N26:N27)</f>
        <v>0</v>
      </c>
      <c r="O28" s="141">
        <f>N28+K28</f>
        <v>0</v>
      </c>
      <c r="P28" t="s">
        <v>116</v>
      </c>
      <c r="Q28" s="18"/>
      <c r="R28" s="18"/>
      <c r="S28" s="18"/>
      <c r="T28" s="18"/>
    </row>
    <row r="29" spans="1:21" x14ac:dyDescent="0.25">
      <c r="A29" s="124"/>
      <c r="B29" s="124"/>
      <c r="C29" s="111"/>
      <c r="D29" s="124"/>
      <c r="E29" s="124"/>
      <c r="F29" s="124"/>
      <c r="G29" s="42"/>
      <c r="H29" s="124"/>
      <c r="I29" s="111"/>
      <c r="J29" s="143"/>
      <c r="K29" s="124"/>
      <c r="L29" s="124"/>
      <c r="M29" s="124"/>
      <c r="N29" s="142" t="e">
        <f>M27/E28</f>
        <v>#DIV/0!</v>
      </c>
      <c r="O29" s="18"/>
      <c r="Q29" s="18"/>
      <c r="R29" s="18"/>
      <c r="S29" s="18"/>
      <c r="T29" s="18"/>
    </row>
    <row r="30" spans="1:21" x14ac:dyDescent="0.25">
      <c r="A30" s="149"/>
      <c r="B30" s="27" t="s">
        <v>113</v>
      </c>
      <c r="C30" s="125">
        <v>6192.5</v>
      </c>
      <c r="D30" s="112">
        <f>'[1]с 01.07.14'!C68</f>
        <v>15.76</v>
      </c>
      <c r="E30" s="124"/>
      <c r="F30" s="124"/>
      <c r="G30" s="26">
        <f>C30*D30</f>
        <v>97593.8</v>
      </c>
      <c r="H30" s="69"/>
      <c r="I30" s="150">
        <f>'[1]с 01.07.14'!C70</f>
        <v>12.08</v>
      </c>
      <c r="J30" s="151"/>
      <c r="K30" s="144">
        <f>I30*$C$30</f>
        <v>74805.399999999994</v>
      </c>
      <c r="L30" s="152"/>
      <c r="M30" s="153">
        <f>'[1]с 01.07.14'!C72</f>
        <v>3.68</v>
      </c>
      <c r="N30" s="152">
        <f>C30*$M$30</f>
        <v>22788.400000000001</v>
      </c>
      <c r="O30" s="141"/>
      <c r="S30" s="154"/>
      <c r="T30" s="154"/>
      <c r="U30" s="154"/>
    </row>
    <row r="31" spans="1:21" x14ac:dyDescent="0.25">
      <c r="A31" s="124"/>
      <c r="B31" s="27" t="s">
        <v>114</v>
      </c>
      <c r="C31" s="124">
        <f>I8</f>
        <v>0</v>
      </c>
      <c r="D31" s="133">
        <f>'[1]с 01.07.14'!C69</f>
        <v>12.11</v>
      </c>
      <c r="E31" s="124"/>
      <c r="F31" s="27"/>
      <c r="G31" s="145">
        <f>C31*D31</f>
        <v>0</v>
      </c>
      <c r="H31" s="155"/>
      <c r="I31" s="150">
        <f>'[1]с 01.07.14'!C71</f>
        <v>8.43</v>
      </c>
      <c r="J31" s="156"/>
      <c r="K31" s="144">
        <f>I31*$C$31</f>
        <v>0</v>
      </c>
      <c r="L31" s="152"/>
      <c r="M31" s="157"/>
      <c r="N31" s="152">
        <f>C31*$M$30</f>
        <v>0</v>
      </c>
      <c r="O31" s="141"/>
    </row>
    <row r="32" spans="1:21" x14ac:dyDescent="0.25">
      <c r="A32" s="124" t="s">
        <v>115</v>
      </c>
      <c r="B32" s="27"/>
      <c r="C32" s="134">
        <f>C30+C31</f>
        <v>6192.5</v>
      </c>
      <c r="D32" s="135">
        <f>G32/C32</f>
        <v>15.76</v>
      </c>
      <c r="E32" s="27"/>
      <c r="F32" s="27"/>
      <c r="G32" s="136">
        <f>G30+G31</f>
        <v>97593.8</v>
      </c>
      <c r="H32" s="158"/>
      <c r="I32" s="148">
        <f>K32/$C$32</f>
        <v>12.079999999999998</v>
      </c>
      <c r="J32" s="159"/>
      <c r="K32" s="140">
        <f>K30+K31</f>
        <v>74805.399999999994</v>
      </c>
      <c r="L32" s="160"/>
      <c r="M32" s="140"/>
      <c r="N32" s="160">
        <f>N30+N31</f>
        <v>22788.400000000001</v>
      </c>
      <c r="O32" s="141">
        <f>K32+N32</f>
        <v>97593.799999999988</v>
      </c>
      <c r="P32" t="s">
        <v>116</v>
      </c>
    </row>
    <row r="33" spans="1:21" x14ac:dyDescent="0.25">
      <c r="A33" s="124"/>
      <c r="B33" s="124"/>
      <c r="C33" s="124"/>
      <c r="D33" s="124"/>
      <c r="E33" s="124"/>
      <c r="F33" s="124"/>
      <c r="G33" s="34"/>
      <c r="H33" s="124"/>
      <c r="I33" s="101"/>
      <c r="J33" s="124"/>
      <c r="K33" s="124"/>
      <c r="L33" s="124"/>
      <c r="M33" s="124"/>
      <c r="N33" s="142">
        <f>M30/D32</f>
        <v>0.233502538071066</v>
      </c>
      <c r="O33" s="154"/>
    </row>
    <row r="34" spans="1:21" x14ac:dyDescent="0.25">
      <c r="A34" s="18"/>
      <c r="C34" s="18"/>
      <c r="D34" s="18"/>
      <c r="E34" s="18"/>
      <c r="F34" s="18"/>
      <c r="G34" s="161"/>
      <c r="H34" s="18"/>
      <c r="I34" s="18"/>
      <c r="J34" s="161"/>
      <c r="K34" s="161"/>
      <c r="L34" s="18"/>
      <c r="M34" s="162"/>
      <c r="O34" s="154"/>
    </row>
    <row r="35" spans="1:21" x14ac:dyDescent="0.25">
      <c r="A35" s="18"/>
      <c r="B35" s="87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21" x14ac:dyDescent="0.25">
      <c r="A36" s="5" t="s">
        <v>117</v>
      </c>
      <c r="B36" s="5"/>
      <c r="C36" s="5"/>
      <c r="D36" s="5"/>
      <c r="E36" s="5"/>
      <c r="F36" s="163"/>
      <c r="G36" s="31"/>
      <c r="H36" s="31"/>
      <c r="I36" s="31"/>
      <c r="J36" s="31"/>
      <c r="K36" s="31"/>
      <c r="L36" s="31"/>
      <c r="M36" s="164"/>
      <c r="N36" s="89"/>
      <c r="O36" s="89"/>
      <c r="P36" s="89"/>
      <c r="Q36" s="4"/>
      <c r="R36" s="90"/>
    </row>
    <row r="37" spans="1:21" x14ac:dyDescent="0.25">
      <c r="A37" s="89" t="s">
        <v>118</v>
      </c>
      <c r="B37" s="89" t="s">
        <v>119</v>
      </c>
      <c r="C37" s="1" t="s">
        <v>120</v>
      </c>
      <c r="D37" s="165"/>
      <c r="E37" s="4" t="s">
        <v>121</v>
      </c>
      <c r="F37" s="8"/>
      <c r="G37" s="166"/>
      <c r="H37" s="89"/>
      <c r="I37" s="90"/>
      <c r="J37" s="89"/>
      <c r="K37" s="167"/>
      <c r="L37" s="8"/>
      <c r="M37" s="1"/>
      <c r="N37" s="93"/>
      <c r="O37" s="93"/>
      <c r="P37" s="93"/>
      <c r="Q37" s="98" t="s">
        <v>122</v>
      </c>
      <c r="R37" s="93" t="s">
        <v>123</v>
      </c>
      <c r="S37" s="18"/>
      <c r="T37" s="18"/>
      <c r="U37" s="18"/>
    </row>
    <row r="38" spans="1:21" x14ac:dyDescent="0.25">
      <c r="A38" s="93" t="s">
        <v>124</v>
      </c>
      <c r="B38" s="93" t="s">
        <v>125</v>
      </c>
      <c r="C38" s="168" t="s">
        <v>126</v>
      </c>
      <c r="D38" s="169"/>
      <c r="E38" s="98" t="s">
        <v>127</v>
      </c>
      <c r="F38" s="93"/>
      <c r="G38" s="94"/>
      <c r="H38" s="93"/>
      <c r="I38" s="93"/>
      <c r="J38" s="93"/>
      <c r="K38" s="94"/>
      <c r="L38" s="93"/>
      <c r="M38" s="170"/>
      <c r="N38" s="93"/>
      <c r="O38" s="93"/>
      <c r="P38" s="93" t="s">
        <v>128</v>
      </c>
      <c r="Q38" s="98" t="s">
        <v>129</v>
      </c>
      <c r="R38" s="93" t="s">
        <v>130</v>
      </c>
      <c r="S38" s="18"/>
      <c r="T38" s="18"/>
      <c r="U38" s="18"/>
    </row>
    <row r="39" spans="1:21" x14ac:dyDescent="0.25">
      <c r="A39" s="93"/>
      <c r="B39" s="93"/>
      <c r="C39" s="170"/>
      <c r="D39" s="171"/>
      <c r="E39" s="98" t="s">
        <v>131</v>
      </c>
      <c r="F39" s="172"/>
      <c r="G39" s="173"/>
      <c r="H39" s="93"/>
      <c r="I39" s="97"/>
      <c r="J39" s="94"/>
      <c r="K39" s="174"/>
      <c r="L39" s="174"/>
      <c r="M39" s="175"/>
      <c r="N39" s="174"/>
      <c r="O39" s="93"/>
      <c r="P39" s="97"/>
      <c r="Q39" s="98" t="s">
        <v>132</v>
      </c>
      <c r="R39" s="94"/>
      <c r="S39" s="18"/>
      <c r="T39" s="18"/>
      <c r="U39" s="18"/>
    </row>
    <row r="40" spans="1:21" x14ac:dyDescent="0.25">
      <c r="A40" s="176">
        <f>O9</f>
        <v>0.40518644628099171</v>
      </c>
      <c r="B40" s="173">
        <f>N9</f>
        <v>0.84088607594936704</v>
      </c>
      <c r="C40" s="58"/>
      <c r="D40" s="177"/>
      <c r="E40" s="98" t="s">
        <v>133</v>
      </c>
      <c r="F40" s="172"/>
      <c r="G40" s="173"/>
      <c r="H40" s="94"/>
      <c r="I40" s="19"/>
      <c r="J40" s="174"/>
      <c r="K40" s="174"/>
      <c r="L40" s="174"/>
      <c r="M40" s="58"/>
      <c r="N40" s="174"/>
      <c r="O40" s="97"/>
      <c r="P40" s="97"/>
      <c r="Q40" s="98"/>
      <c r="R40" s="94"/>
      <c r="S40" s="18"/>
      <c r="T40" s="18"/>
      <c r="U40" s="18"/>
    </row>
    <row r="41" spans="1:21" x14ac:dyDescent="0.25">
      <c r="A41" s="16"/>
      <c r="B41" s="16"/>
      <c r="C41" s="178"/>
      <c r="D41" s="179"/>
      <c r="E41" s="15"/>
      <c r="F41" s="180"/>
      <c r="G41" s="132"/>
      <c r="H41" s="181"/>
      <c r="I41" s="181"/>
      <c r="J41" s="181"/>
      <c r="K41" s="181"/>
      <c r="L41" s="181"/>
      <c r="M41" s="182"/>
      <c r="N41" s="181"/>
      <c r="O41" s="102"/>
      <c r="P41" s="102"/>
      <c r="Q41" s="14"/>
      <c r="R41" s="101"/>
      <c r="S41" s="18"/>
      <c r="T41" s="18"/>
      <c r="U41" s="18"/>
    </row>
    <row r="42" spans="1:21" x14ac:dyDescent="0.25">
      <c r="A42" s="183">
        <f>$A$40*'[1]с 01.07.14'!$G$3</f>
        <v>7638.1992774535529</v>
      </c>
      <c r="B42" s="183">
        <f>$B$40*'[1]с 01.07.14'!$G$6</f>
        <v>15771.659240506327</v>
      </c>
      <c r="C42" s="183">
        <f>'[1]с 01.07.14'!C113*C32</f>
        <v>743.1</v>
      </c>
      <c r="D42" s="183"/>
      <c r="E42" s="183"/>
      <c r="F42" s="183"/>
      <c r="G42" s="183"/>
      <c r="H42" s="183"/>
      <c r="I42" s="184"/>
      <c r="J42" s="185"/>
      <c r="K42" s="185"/>
      <c r="L42" s="185"/>
      <c r="M42" s="185"/>
      <c r="N42" s="185"/>
      <c r="O42" s="186"/>
      <c r="P42" s="187">
        <f>SUM(A42:O42)</f>
        <v>24152.95851795988</v>
      </c>
      <c r="Q42" s="188">
        <f>K32-P42-R42</f>
        <v>44336.091482040116</v>
      </c>
      <c r="R42" s="189">
        <f>'[1]с 01.07.14'!C106*C32</f>
        <v>6316.35</v>
      </c>
      <c r="S42" s="190">
        <f>SUM(P42:R42)</f>
        <v>74805.399999999994</v>
      </c>
      <c r="T42" s="191" t="s">
        <v>134</v>
      </c>
    </row>
    <row r="43" spans="1:21" x14ac:dyDescent="0.25">
      <c r="A43" s="183"/>
      <c r="B43" s="183"/>
      <c r="C43" s="183"/>
      <c r="D43" s="183"/>
      <c r="E43" s="183"/>
      <c r="F43" s="183"/>
      <c r="G43" s="183"/>
      <c r="H43" s="183"/>
      <c r="I43" s="192"/>
      <c r="J43" s="192"/>
      <c r="K43" s="192"/>
      <c r="L43" s="192"/>
      <c r="M43" s="192"/>
      <c r="N43" s="192"/>
      <c r="O43" s="192"/>
      <c r="P43" s="187"/>
      <c r="Q43" s="188"/>
      <c r="R43" s="101"/>
      <c r="S43" s="193"/>
      <c r="T43" s="191"/>
    </row>
    <row r="44" spans="1:21" x14ac:dyDescent="0.25">
      <c r="A44" s="183">
        <f>$A$40*'[1]с 01.01.2014 '!$H$3</f>
        <v>7214.6181768842971</v>
      </c>
      <c r="B44" s="183">
        <f>$B$40*'[1]с 01.01.2014 '!$H$5</f>
        <v>14892.933291139239</v>
      </c>
      <c r="C44" s="192">
        <f>'[1]с 01.01.2014 '!C114*C24</f>
        <v>742.83600000000001</v>
      </c>
      <c r="D44" s="192"/>
      <c r="E44" s="183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4">
        <f>SUM(A44:O44)</f>
        <v>22850.387468023535</v>
      </c>
      <c r="Q44" s="188">
        <f>$K$24-P44-R44</f>
        <v>40476.381531976462</v>
      </c>
      <c r="R44" s="195">
        <f>'[1]с 01.01.2014 '!$C$107*$G$8</f>
        <v>5942.6880000000001</v>
      </c>
      <c r="S44" s="193">
        <f>SUM(P44:R44)</f>
        <v>69269.456999999995</v>
      </c>
      <c r="T44" s="191" t="s">
        <v>135</v>
      </c>
    </row>
    <row r="45" spans="1:21" x14ac:dyDescent="0.25">
      <c r="A45" s="183">
        <f>$A$40*'[1]с 01.01.2014 '!$H$3</f>
        <v>7214.6181768842971</v>
      </c>
      <c r="B45" s="183">
        <f>$B$40*'[1]с 01.01.2014 '!$H$5</f>
        <v>14892.933291139239</v>
      </c>
      <c r="C45" s="192"/>
      <c r="D45" s="192"/>
      <c r="E45" s="183">
        <f>'[1]с 01.01.2014 '!$E$70*$G$8</f>
        <v>1361.866</v>
      </c>
      <c r="F45" s="183"/>
      <c r="G45" s="183"/>
      <c r="H45" s="183"/>
      <c r="I45" s="192"/>
      <c r="J45" s="183"/>
      <c r="K45" s="183"/>
      <c r="L45" s="183"/>
      <c r="M45" s="183"/>
      <c r="N45" s="183"/>
      <c r="O45" s="186"/>
      <c r="P45" s="187">
        <f>SUM(A45:O45)</f>
        <v>23469.417468023537</v>
      </c>
      <c r="Q45" s="188">
        <f>$K$24-P45-R45</f>
        <v>39857.351531976456</v>
      </c>
      <c r="R45" s="195">
        <f>'[1]с 01.01.2014 '!$C$107*$G$8</f>
        <v>5942.6880000000001</v>
      </c>
      <c r="S45" s="193">
        <f>SUM(P45:R45)</f>
        <v>69269.456999999995</v>
      </c>
      <c r="T45" s="191" t="s">
        <v>136</v>
      </c>
    </row>
    <row r="46" spans="1:21" x14ac:dyDescent="0.25">
      <c r="A46" s="196" t="s">
        <v>137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64"/>
      <c r="P46" s="106"/>
      <c r="Q46" s="106"/>
      <c r="R46" s="27"/>
      <c r="S46" s="198"/>
      <c r="T46" s="199"/>
      <c r="U46" s="200"/>
    </row>
    <row r="47" spans="1:21" x14ac:dyDescent="0.25">
      <c r="A47" s="180">
        <f t="shared" ref="A47:R47" si="0">A42/$C$32</f>
        <v>1.2334597137591528</v>
      </c>
      <c r="B47" s="180">
        <f t="shared" si="0"/>
        <v>2.546896930239213</v>
      </c>
      <c r="C47" s="180">
        <f t="shared" si="0"/>
        <v>0.12000000000000001</v>
      </c>
      <c r="D47" s="180">
        <f t="shared" si="0"/>
        <v>0</v>
      </c>
      <c r="E47" s="180">
        <f t="shared" si="0"/>
        <v>0</v>
      </c>
      <c r="F47" s="180">
        <f t="shared" si="0"/>
        <v>0</v>
      </c>
      <c r="G47" s="180">
        <f t="shared" si="0"/>
        <v>0</v>
      </c>
      <c r="H47" s="180">
        <f t="shared" si="0"/>
        <v>0</v>
      </c>
      <c r="I47" s="180">
        <f t="shared" si="0"/>
        <v>0</v>
      </c>
      <c r="J47" s="180">
        <f t="shared" si="0"/>
        <v>0</v>
      </c>
      <c r="K47" s="180">
        <f t="shared" si="0"/>
        <v>0</v>
      </c>
      <c r="L47" s="180">
        <f t="shared" si="0"/>
        <v>0</v>
      </c>
      <c r="M47" s="180">
        <f t="shared" si="0"/>
        <v>0</v>
      </c>
      <c r="N47" s="180">
        <f t="shared" si="0"/>
        <v>0</v>
      </c>
      <c r="O47" s="180">
        <f t="shared" si="0"/>
        <v>0</v>
      </c>
      <c r="P47" s="180">
        <f t="shared" si="0"/>
        <v>3.9003566439983657</v>
      </c>
      <c r="Q47" s="180">
        <f t="shared" si="0"/>
        <v>7.1596433560016335</v>
      </c>
      <c r="R47" s="180">
        <f t="shared" si="0"/>
        <v>1.02</v>
      </c>
      <c r="S47" s="201">
        <f>SUM(P47:R47)</f>
        <v>12.079999999999998</v>
      </c>
      <c r="T47" s="191" t="s">
        <v>134</v>
      </c>
    </row>
    <row r="48" spans="1:21" x14ac:dyDescent="0.25">
      <c r="A48" s="180"/>
      <c r="B48" s="180"/>
      <c r="C48" s="180"/>
      <c r="D48" s="180"/>
      <c r="E48" s="150"/>
      <c r="F48" s="150"/>
      <c r="G48" s="202"/>
      <c r="H48" s="202"/>
      <c r="I48" s="202"/>
      <c r="J48" s="202"/>
      <c r="K48" s="202"/>
      <c r="L48" s="202"/>
      <c r="M48" s="202"/>
      <c r="N48" s="202"/>
      <c r="O48" s="202"/>
      <c r="P48" s="180"/>
      <c r="Q48" s="180"/>
      <c r="R48" s="27"/>
      <c r="S48" s="203"/>
      <c r="T48" s="191"/>
    </row>
    <row r="49" spans="1:20" x14ac:dyDescent="0.25">
      <c r="A49" s="180">
        <f t="shared" ref="A49:C50" si="1">A44/$J$8</f>
        <v>1.1654714919930047</v>
      </c>
      <c r="B49" s="180">
        <f t="shared" si="1"/>
        <v>2.4058500058380434</v>
      </c>
      <c r="C49" s="180">
        <f t="shared" si="1"/>
        <v>0.12</v>
      </c>
      <c r="D49" s="127"/>
      <c r="E49" s="180">
        <f>E44/$J$8</f>
        <v>0</v>
      </c>
      <c r="F49" s="127"/>
      <c r="G49" s="127"/>
      <c r="H49" s="127"/>
      <c r="I49" s="127"/>
      <c r="J49" s="127"/>
      <c r="K49" s="194"/>
      <c r="L49" s="124"/>
      <c r="M49" s="124"/>
      <c r="N49" s="194"/>
      <c r="O49" s="204"/>
      <c r="P49" s="150">
        <f>P44/$J$8</f>
        <v>3.6913214978310478</v>
      </c>
      <c r="Q49" s="150">
        <f>Q44/$J$8</f>
        <v>6.5386785021689517</v>
      </c>
      <c r="R49" s="150">
        <f>R44/$J$8</f>
        <v>0.96</v>
      </c>
      <c r="S49" s="203">
        <f>SUM(P49:R49)</f>
        <v>11.190000000000001</v>
      </c>
      <c r="T49" s="191" t="s">
        <v>135</v>
      </c>
    </row>
    <row r="50" spans="1:20" x14ac:dyDescent="0.25">
      <c r="A50" s="180">
        <f t="shared" si="1"/>
        <v>1.1654714919930047</v>
      </c>
      <c r="B50" s="180">
        <f t="shared" si="1"/>
        <v>2.4058500058380434</v>
      </c>
      <c r="C50" s="180">
        <f t="shared" si="1"/>
        <v>0</v>
      </c>
      <c r="D50" s="180">
        <f>D45/$J$8</f>
        <v>0</v>
      </c>
      <c r="E50" s="180">
        <f>E45/$J$8</f>
        <v>0.22</v>
      </c>
      <c r="F50" s="27"/>
      <c r="G50" s="28"/>
      <c r="H50" s="27"/>
      <c r="I50" s="27"/>
      <c r="J50" s="27"/>
      <c r="K50" s="27"/>
      <c r="L50" s="27"/>
      <c r="M50" s="27"/>
      <c r="N50" s="127"/>
      <c r="O50" s="27"/>
      <c r="P50" s="180">
        <f>P45/$J$8</f>
        <v>3.7913214978310479</v>
      </c>
      <c r="Q50" s="180">
        <f>Q45/$C$24</f>
        <v>6.4386785021689503</v>
      </c>
      <c r="R50" s="180">
        <f>R45/$C$24</f>
        <v>0.96</v>
      </c>
      <c r="S50" s="203">
        <f>SUM(P50:R50)</f>
        <v>11.189999999999998</v>
      </c>
      <c r="T50" s="191" t="s">
        <v>136</v>
      </c>
    </row>
    <row r="51" spans="1:20" x14ac:dyDescent="0.25">
      <c r="A51" s="205"/>
      <c r="B51" s="206"/>
      <c r="C51" s="207"/>
      <c r="D51" s="207"/>
      <c r="E51" s="207"/>
      <c r="F51" s="207"/>
      <c r="G51" s="207"/>
      <c r="H51" s="207"/>
      <c r="I51" s="207"/>
      <c r="J51" s="207"/>
      <c r="K51" s="208"/>
      <c r="L51" s="18"/>
      <c r="M51" s="18"/>
      <c r="N51" s="208"/>
      <c r="O51" s="207"/>
      <c r="P51" s="207"/>
      <c r="Q51" s="207"/>
      <c r="R51" s="207"/>
      <c r="S51" s="207"/>
      <c r="T51" s="207"/>
    </row>
    <row r="52" spans="1:20" ht="18" x14ac:dyDescent="0.25">
      <c r="B52" s="209" t="s">
        <v>138</v>
      </c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</row>
    <row r="53" spans="1:20" ht="15.75" x14ac:dyDescent="0.25">
      <c r="B53" s="210" t="s">
        <v>139</v>
      </c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</row>
    <row r="54" spans="1:20" x14ac:dyDescent="0.25">
      <c r="N54" s="211"/>
    </row>
    <row r="55" spans="1:20" x14ac:dyDescent="0.25">
      <c r="B55" s="89"/>
      <c r="C55" s="5" t="s">
        <v>0</v>
      </c>
      <c r="D55" s="5"/>
      <c r="E55" s="5"/>
      <c r="F55" s="5"/>
      <c r="G55" s="5"/>
      <c r="H55" s="5"/>
      <c r="I55" s="5"/>
      <c r="J55" s="5" t="s">
        <v>1</v>
      </c>
      <c r="K55" s="5"/>
      <c r="L55" s="5"/>
      <c r="M55" s="5"/>
      <c r="N55" s="5"/>
      <c r="O55" s="5"/>
      <c r="P55" s="5"/>
      <c r="Q55" s="5"/>
      <c r="R55" s="6" t="s">
        <v>2</v>
      </c>
      <c r="S55" s="6"/>
    </row>
    <row r="56" spans="1:20" x14ac:dyDescent="0.25">
      <c r="B56" s="94"/>
      <c r="C56" s="212" t="s">
        <v>140</v>
      </c>
      <c r="D56" s="212"/>
      <c r="E56" s="90" t="s">
        <v>141</v>
      </c>
      <c r="F56" s="89" t="s">
        <v>4</v>
      </c>
      <c r="G56" s="8" t="s">
        <v>5</v>
      </c>
      <c r="H56" s="1" t="s">
        <v>6</v>
      </c>
      <c r="I56" s="9" t="s">
        <v>7</v>
      </c>
      <c r="J56" s="1" t="s">
        <v>142</v>
      </c>
      <c r="K56" s="8" t="s">
        <v>143</v>
      </c>
      <c r="L56" s="213" t="s">
        <v>144</v>
      </c>
      <c r="M56" s="92" t="s">
        <v>145</v>
      </c>
      <c r="N56" s="92"/>
      <c r="O56" s="92"/>
      <c r="P56" s="92"/>
      <c r="Q56" s="92"/>
      <c r="R56" s="11" t="s">
        <v>9</v>
      </c>
      <c r="S56" s="11"/>
    </row>
    <row r="57" spans="1:20" x14ac:dyDescent="0.25">
      <c r="B57" s="94"/>
      <c r="C57" s="214" t="s">
        <v>146</v>
      </c>
      <c r="D57" s="13" t="s">
        <v>147</v>
      </c>
      <c r="E57" s="101"/>
      <c r="F57" s="16" t="s">
        <v>10</v>
      </c>
      <c r="G57" s="16" t="s">
        <v>10</v>
      </c>
      <c r="H57" s="17" t="s">
        <v>10</v>
      </c>
      <c r="I57" s="12"/>
      <c r="J57" s="170" t="s">
        <v>111</v>
      </c>
      <c r="K57" s="93" t="s">
        <v>108</v>
      </c>
      <c r="L57" s="51" t="s">
        <v>148</v>
      </c>
      <c r="M57" s="10" t="s">
        <v>11</v>
      </c>
      <c r="N57" s="10"/>
      <c r="O57" s="10"/>
      <c r="P57" s="10"/>
      <c r="Q57" s="2" t="s">
        <v>12</v>
      </c>
      <c r="R57" s="215" t="s">
        <v>13</v>
      </c>
      <c r="S57" s="20" t="s">
        <v>14</v>
      </c>
    </row>
    <row r="58" spans="1:20" x14ac:dyDescent="0.25">
      <c r="B58" s="27"/>
      <c r="C58" s="29"/>
      <c r="D58" s="29"/>
      <c r="E58" s="73"/>
      <c r="F58" s="216"/>
      <c r="G58" s="197"/>
      <c r="H58" s="197"/>
      <c r="I58" s="110"/>
      <c r="J58" s="216"/>
      <c r="K58" s="197"/>
      <c r="L58" s="53"/>
      <c r="M58" s="217"/>
      <c r="N58" s="217" t="s">
        <v>149</v>
      </c>
      <c r="O58" s="217"/>
      <c r="P58" s="217"/>
      <c r="Q58" s="218"/>
      <c r="R58" s="219">
        <v>-183643</v>
      </c>
      <c r="S58" s="219">
        <v>-183643</v>
      </c>
    </row>
    <row r="59" spans="1:20" x14ac:dyDescent="0.25">
      <c r="B59" s="220"/>
      <c r="C59" s="214"/>
      <c r="D59" s="221"/>
      <c r="E59" s="34"/>
      <c r="F59" s="124"/>
      <c r="G59" s="222"/>
      <c r="H59" s="222"/>
      <c r="I59" s="124"/>
      <c r="J59" s="215"/>
      <c r="K59" s="215"/>
      <c r="L59" s="28"/>
      <c r="M59" s="223"/>
      <c r="N59" s="224" t="s">
        <v>150</v>
      </c>
      <c r="O59" s="225"/>
      <c r="P59" s="226"/>
      <c r="Q59" s="227"/>
      <c r="R59" s="136">
        <v>216973</v>
      </c>
      <c r="S59" s="136">
        <v>175126</v>
      </c>
    </row>
    <row r="60" spans="1:20" x14ac:dyDescent="0.25">
      <c r="B60" s="220"/>
      <c r="C60" s="214"/>
      <c r="D60" s="228"/>
      <c r="E60" s="73"/>
      <c r="F60" s="27"/>
      <c r="G60" s="229"/>
      <c r="H60" s="229"/>
      <c r="I60" s="230"/>
      <c r="J60" s="214"/>
      <c r="K60" s="214"/>
      <c r="L60" s="53"/>
      <c r="M60" s="231"/>
      <c r="N60" s="224" t="s">
        <v>151</v>
      </c>
      <c r="O60" s="224"/>
      <c r="P60" s="226"/>
      <c r="Q60" s="139"/>
      <c r="R60" s="158">
        <v>770</v>
      </c>
      <c r="S60" s="136">
        <v>-10482</v>
      </c>
    </row>
    <row r="61" spans="1:20" x14ac:dyDescent="0.25">
      <c r="B61" s="93" t="s">
        <v>15</v>
      </c>
      <c r="C61" s="26">
        <f>G24</f>
        <v>92049.760999999999</v>
      </c>
      <c r="D61" s="232">
        <f>H31</f>
        <v>0</v>
      </c>
      <c r="E61" s="25">
        <f>SUM(C61:D61)</f>
        <v>92049.760999999999</v>
      </c>
      <c r="F61" s="40">
        <v>92049.78</v>
      </c>
      <c r="G61" s="41">
        <v>83547.259999999995</v>
      </c>
      <c r="H61" s="42">
        <f>0+0+D61</f>
        <v>0</v>
      </c>
      <c r="I61" s="42">
        <f t="shared" ref="I61:I96" si="2">F61+H61</f>
        <v>92049.78</v>
      </c>
      <c r="J61" s="233">
        <f>I63</f>
        <v>69269.471297915268</v>
      </c>
      <c r="K61" s="234">
        <f>P45+R45</f>
        <v>29412.105468023539</v>
      </c>
      <c r="L61" s="233">
        <f>J61-K61</f>
        <v>39857.365829891729</v>
      </c>
      <c r="M61" s="43"/>
      <c r="N61" s="45"/>
      <c r="O61" s="45"/>
      <c r="P61" s="46"/>
      <c r="Q61" s="101"/>
      <c r="R61" s="101"/>
      <c r="S61" s="77"/>
    </row>
    <row r="62" spans="1:20" x14ac:dyDescent="0.25">
      <c r="B62" s="235" t="s">
        <v>152</v>
      </c>
      <c r="C62" s="221">
        <f>C61*$N$25</f>
        <v>22780.304000000004</v>
      </c>
      <c r="D62" s="228">
        <v>0</v>
      </c>
      <c r="E62" s="228">
        <f>SUM(C62:D62)</f>
        <v>22780.304000000004</v>
      </c>
      <c r="F62" s="228">
        <f>F61*$N$25</f>
        <v>22780.308702084738</v>
      </c>
      <c r="G62" s="228">
        <f>G61*$N$25</f>
        <v>20676.120833893747</v>
      </c>
      <c r="H62" s="228">
        <f>H61*$N$25</f>
        <v>0</v>
      </c>
      <c r="I62" s="221">
        <f t="shared" si="2"/>
        <v>22780.308702084738</v>
      </c>
      <c r="J62" s="28"/>
      <c r="K62" s="28"/>
      <c r="L62" s="236">
        <f>G63+H63-K61</f>
        <v>33459.033698082712</v>
      </c>
      <c r="M62" s="29"/>
      <c r="N62" s="32"/>
      <c r="O62" s="32"/>
      <c r="P62" s="33"/>
      <c r="Q62" s="124"/>
      <c r="R62" s="27"/>
      <c r="S62" s="35"/>
    </row>
    <row r="63" spans="1:20" x14ac:dyDescent="0.25">
      <c r="B63" s="237" t="s">
        <v>153</v>
      </c>
      <c r="C63" s="238">
        <f t="shared" ref="C63:H63" si="3">C61-C62</f>
        <v>69269.456999999995</v>
      </c>
      <c r="D63" s="239">
        <f t="shared" si="3"/>
        <v>0</v>
      </c>
      <c r="E63" s="240">
        <f t="shared" si="3"/>
        <v>69269.456999999995</v>
      </c>
      <c r="F63" s="241">
        <f t="shared" si="3"/>
        <v>69269.471297915268</v>
      </c>
      <c r="G63" s="242">
        <f t="shared" si="3"/>
        <v>62871.139166106252</v>
      </c>
      <c r="H63" s="240">
        <f t="shared" si="3"/>
        <v>0</v>
      </c>
      <c r="I63" s="242">
        <f t="shared" si="2"/>
        <v>69269.471297915268</v>
      </c>
      <c r="J63" s="243" t="s">
        <v>34</v>
      </c>
      <c r="K63" s="244"/>
      <c r="L63" s="245"/>
      <c r="M63" s="60"/>
      <c r="N63" s="60"/>
      <c r="O63" s="60"/>
      <c r="P63" s="61"/>
      <c r="Q63" s="246">
        <f>G166</f>
        <v>54707.839999999997</v>
      </c>
      <c r="R63" s="246">
        <f>L61-Q63</f>
        <v>-14850.474170108268</v>
      </c>
      <c r="S63" s="247">
        <f>L62-Q63</f>
        <v>-21248.806301917284</v>
      </c>
    </row>
    <row r="64" spans="1:20" x14ac:dyDescent="0.25">
      <c r="B64" s="8" t="s">
        <v>17</v>
      </c>
      <c r="C64" s="28">
        <f>C61</f>
        <v>92049.760999999999</v>
      </c>
      <c r="D64" s="25">
        <f>D61</f>
        <v>0</v>
      </c>
      <c r="E64" s="28">
        <f>E61</f>
        <v>92049.760999999999</v>
      </c>
      <c r="F64" s="232">
        <v>92049.78</v>
      </c>
      <c r="G64" s="26">
        <v>89984.22</v>
      </c>
      <c r="H64" s="28">
        <f>0+0+D64</f>
        <v>0</v>
      </c>
      <c r="I64" s="28">
        <f t="shared" si="2"/>
        <v>92049.78</v>
      </c>
      <c r="J64" s="248">
        <f>I66</f>
        <v>69269.471297915268</v>
      </c>
      <c r="K64" s="248">
        <f>K61</f>
        <v>29412.105468023539</v>
      </c>
      <c r="L64" s="248">
        <f>J64-K64</f>
        <v>39857.365829891729</v>
      </c>
      <c r="M64" s="32"/>
      <c r="N64" s="32"/>
      <c r="O64" s="32"/>
      <c r="P64" s="33"/>
      <c r="Q64" s="124"/>
      <c r="R64" s="124"/>
      <c r="S64" s="35"/>
    </row>
    <row r="65" spans="2:19" x14ac:dyDescent="0.25">
      <c r="B65" s="235" t="s">
        <v>152</v>
      </c>
      <c r="C65" s="221">
        <f>C62</f>
        <v>22780.304000000004</v>
      </c>
      <c r="D65" s="228">
        <f>D62</f>
        <v>0</v>
      </c>
      <c r="E65" s="221">
        <f>SUM(C65:D65)</f>
        <v>22780.304000000004</v>
      </c>
      <c r="F65" s="228">
        <f>F64*$N$25</f>
        <v>22780.308702084738</v>
      </c>
      <c r="G65" s="228">
        <f>G64*$N$25</f>
        <v>22269.127747141898</v>
      </c>
      <c r="H65" s="228">
        <f>H64*$N$25</f>
        <v>0</v>
      </c>
      <c r="I65" s="249">
        <f t="shared" si="2"/>
        <v>22780.308702084738</v>
      </c>
      <c r="J65" s="28"/>
      <c r="K65" s="28"/>
      <c r="L65" s="236">
        <f>G66+H66-K64</f>
        <v>38302.98678483456</v>
      </c>
      <c r="M65" s="32"/>
      <c r="N65" s="32"/>
      <c r="O65" s="32"/>
      <c r="P65" s="33"/>
      <c r="Q65" s="124"/>
      <c r="R65" s="27"/>
      <c r="S65" s="35"/>
    </row>
    <row r="66" spans="2:19" x14ac:dyDescent="0.25">
      <c r="B66" s="237" t="s">
        <v>153</v>
      </c>
      <c r="C66" s="238">
        <f t="shared" ref="C66:H66" si="4">C64-C65</f>
        <v>69269.456999999995</v>
      </c>
      <c r="D66" s="239">
        <f t="shared" si="4"/>
        <v>0</v>
      </c>
      <c r="E66" s="238">
        <f t="shared" si="4"/>
        <v>69269.456999999995</v>
      </c>
      <c r="F66" s="239">
        <f t="shared" si="4"/>
        <v>69269.471297915268</v>
      </c>
      <c r="G66" s="238">
        <f t="shared" si="4"/>
        <v>67715.0922528581</v>
      </c>
      <c r="H66" s="238">
        <f t="shared" si="4"/>
        <v>0</v>
      </c>
      <c r="I66" s="250">
        <f t="shared" si="2"/>
        <v>69269.471297915268</v>
      </c>
      <c r="J66" s="157" t="s">
        <v>34</v>
      </c>
      <c r="K66" s="157"/>
      <c r="L66" s="157"/>
      <c r="M66" s="32"/>
      <c r="N66" s="32"/>
      <c r="O66" s="32"/>
      <c r="P66" s="33"/>
      <c r="Q66" s="251">
        <f>G173</f>
        <v>6082.6399999999994</v>
      </c>
      <c r="R66" s="251">
        <f>L64-Q66</f>
        <v>33774.72582989173</v>
      </c>
      <c r="S66" s="72">
        <f>L65-Q66</f>
        <v>32220.346784834561</v>
      </c>
    </row>
    <row r="67" spans="2:19" x14ac:dyDescent="0.25">
      <c r="B67" s="8" t="s">
        <v>18</v>
      </c>
      <c r="C67" s="28">
        <f>C61</f>
        <v>92049.760999999999</v>
      </c>
      <c r="D67" s="25">
        <f>D61</f>
        <v>0</v>
      </c>
      <c r="E67" s="47">
        <f>E61</f>
        <v>92049.760999999999</v>
      </c>
      <c r="F67" s="232">
        <v>92049.78</v>
      </c>
      <c r="G67" s="26">
        <v>92166.37</v>
      </c>
      <c r="H67" s="28">
        <f>0+0+D67</f>
        <v>0</v>
      </c>
      <c r="I67" s="28">
        <f t="shared" si="2"/>
        <v>92049.78</v>
      </c>
      <c r="J67" s="233">
        <f>I69</f>
        <v>69269.471297915268</v>
      </c>
      <c r="K67" s="248">
        <f>K64</f>
        <v>29412.105468023539</v>
      </c>
      <c r="L67" s="252">
        <f>J67-K67</f>
        <v>39857.365829891729</v>
      </c>
      <c r="M67" s="34"/>
      <c r="N67" s="32"/>
      <c r="O67" s="32"/>
      <c r="P67" s="33"/>
      <c r="Q67" s="28"/>
      <c r="R67" s="124"/>
      <c r="S67" s="35"/>
    </row>
    <row r="68" spans="2:19" x14ac:dyDescent="0.25">
      <c r="B68" s="235" t="s">
        <v>152</v>
      </c>
      <c r="C68" s="221">
        <f>C62</f>
        <v>22780.304000000004</v>
      </c>
      <c r="D68" s="228">
        <f>D62</f>
        <v>0</v>
      </c>
      <c r="E68" s="228">
        <f>SUM(C68:D68)</f>
        <v>22780.304000000004</v>
      </c>
      <c r="F68" s="228">
        <f>F67*$N$25</f>
        <v>22780.308702084738</v>
      </c>
      <c r="G68" s="228">
        <f>G67*$N$25</f>
        <v>22809.16217888366</v>
      </c>
      <c r="H68" s="228">
        <f>H67*$N$25</f>
        <v>0</v>
      </c>
      <c r="I68" s="221">
        <f t="shared" si="2"/>
        <v>22780.308702084738</v>
      </c>
      <c r="J68" s="28"/>
      <c r="K68" s="28"/>
      <c r="L68" s="236">
        <f>G69+H69-K67</f>
        <v>39945.102353092792</v>
      </c>
      <c r="M68" s="34"/>
      <c r="N68" s="32"/>
      <c r="O68" s="32"/>
      <c r="P68" s="33"/>
      <c r="Q68" s="28"/>
      <c r="R68" s="27"/>
      <c r="S68" s="35"/>
    </row>
    <row r="69" spans="2:19" x14ac:dyDescent="0.25">
      <c r="B69" s="237" t="s">
        <v>153</v>
      </c>
      <c r="C69" s="238">
        <f t="shared" ref="C69:H69" si="5">C67-C68</f>
        <v>69269.456999999995</v>
      </c>
      <c r="D69" s="239">
        <f t="shared" si="5"/>
        <v>0</v>
      </c>
      <c r="E69" s="239">
        <f t="shared" si="5"/>
        <v>69269.456999999995</v>
      </c>
      <c r="F69" s="253">
        <f t="shared" si="5"/>
        <v>69269.471297915268</v>
      </c>
      <c r="G69" s="238">
        <f t="shared" si="5"/>
        <v>69357.207821116332</v>
      </c>
      <c r="H69" s="239">
        <f t="shared" si="5"/>
        <v>0</v>
      </c>
      <c r="I69" s="238">
        <f t="shared" si="2"/>
        <v>69269.471297915268</v>
      </c>
      <c r="J69" s="254" t="s">
        <v>34</v>
      </c>
      <c r="K69" s="255"/>
      <c r="L69" s="256"/>
      <c r="M69" s="34"/>
      <c r="N69" s="32"/>
      <c r="O69" s="32"/>
      <c r="P69" s="33"/>
      <c r="Q69" s="251">
        <f>G180</f>
        <v>6926.0299999999988</v>
      </c>
      <c r="R69" s="251">
        <f>L67-Q69</f>
        <v>32931.33582989173</v>
      </c>
      <c r="S69" s="72">
        <f>L68-Q69</f>
        <v>33019.072353092793</v>
      </c>
    </row>
    <row r="70" spans="2:19" x14ac:dyDescent="0.25">
      <c r="B70" s="8" t="s">
        <v>19</v>
      </c>
      <c r="C70" s="28">
        <f>C61</f>
        <v>92049.760999999999</v>
      </c>
      <c r="D70" s="25">
        <f>D61</f>
        <v>0</v>
      </c>
      <c r="E70" s="25">
        <f>E64</f>
        <v>92049.760999999999</v>
      </c>
      <c r="F70" s="232">
        <v>92049.78</v>
      </c>
      <c r="G70" s="26">
        <v>87766.68</v>
      </c>
      <c r="H70" s="28">
        <f>0+0+D70</f>
        <v>0</v>
      </c>
      <c r="I70" s="28">
        <f t="shared" si="2"/>
        <v>92049.78</v>
      </c>
      <c r="J70" s="233">
        <f>I72</f>
        <v>69269.471297915268</v>
      </c>
      <c r="K70" s="233">
        <f>P44+R44</f>
        <v>28793.075468023533</v>
      </c>
      <c r="L70" s="252">
        <f>J70-K70</f>
        <v>40476.395829891735</v>
      </c>
      <c r="M70" s="34"/>
      <c r="N70" s="32"/>
      <c r="O70" s="32"/>
      <c r="P70" s="33"/>
      <c r="Q70" s="42"/>
      <c r="R70" s="101"/>
      <c r="S70" s="77"/>
    </row>
    <row r="71" spans="2:19" x14ac:dyDescent="0.25">
      <c r="B71" s="235" t="s">
        <v>152</v>
      </c>
      <c r="C71" s="221">
        <f>C62</f>
        <v>22780.304000000004</v>
      </c>
      <c r="D71" s="228">
        <f>D62</f>
        <v>0</v>
      </c>
      <c r="E71" s="228">
        <f>SUM(C71:D71)</f>
        <v>22780.304000000004</v>
      </c>
      <c r="F71" s="228">
        <f>F70*$N$25</f>
        <v>22780.308702084738</v>
      </c>
      <c r="G71" s="228">
        <f>G70*$N$25</f>
        <v>21720.335063887022</v>
      </c>
      <c r="H71" s="228">
        <f>H70*$N$25</f>
        <v>0</v>
      </c>
      <c r="I71" s="221">
        <f t="shared" si="2"/>
        <v>22780.308702084738</v>
      </c>
      <c r="J71" s="28"/>
      <c r="K71" s="28"/>
      <c r="L71" s="236">
        <f>G72+H72-K70</f>
        <v>37253.269468089442</v>
      </c>
      <c r="M71" s="34"/>
      <c r="N71" s="32"/>
      <c r="O71" s="32"/>
      <c r="P71" s="33"/>
      <c r="Q71" s="28"/>
      <c r="R71" s="27"/>
      <c r="S71" s="35"/>
    </row>
    <row r="72" spans="2:19" x14ac:dyDescent="0.25">
      <c r="B72" s="257" t="s">
        <v>153</v>
      </c>
      <c r="C72" s="238">
        <f t="shared" ref="C72:H72" si="6">C70-C71</f>
        <v>69269.456999999995</v>
      </c>
      <c r="D72" s="239">
        <f t="shared" si="6"/>
        <v>0</v>
      </c>
      <c r="E72" s="239">
        <f t="shared" si="6"/>
        <v>69269.456999999995</v>
      </c>
      <c r="F72" s="253">
        <f t="shared" si="6"/>
        <v>69269.471297915268</v>
      </c>
      <c r="G72" s="238">
        <f t="shared" si="6"/>
        <v>66046.344936112975</v>
      </c>
      <c r="H72" s="239">
        <f t="shared" si="6"/>
        <v>0</v>
      </c>
      <c r="I72" s="238">
        <f t="shared" si="2"/>
        <v>69269.471297915268</v>
      </c>
      <c r="J72" s="254" t="s">
        <v>34</v>
      </c>
      <c r="K72" s="255"/>
      <c r="L72" s="256"/>
      <c r="M72" s="34"/>
      <c r="N72" s="32"/>
      <c r="O72" s="32"/>
      <c r="P72" s="33"/>
      <c r="Q72" s="246">
        <f>G188</f>
        <v>8408.31</v>
      </c>
      <c r="R72" s="246">
        <f>L70-Q72</f>
        <v>32068.085829891737</v>
      </c>
      <c r="S72" s="247">
        <f>L71-Q72</f>
        <v>28844.959468089444</v>
      </c>
    </row>
    <row r="73" spans="2:19" x14ac:dyDescent="0.25">
      <c r="B73" s="170" t="s">
        <v>20</v>
      </c>
      <c r="C73" s="28">
        <f>C61</f>
        <v>92049.760999999999</v>
      </c>
      <c r="D73" s="25">
        <f>D61</f>
        <v>0</v>
      </c>
      <c r="E73" s="25">
        <f>E67</f>
        <v>92049.760999999999</v>
      </c>
      <c r="F73" s="232">
        <v>92049.78</v>
      </c>
      <c r="G73" s="26">
        <v>93503.85</v>
      </c>
      <c r="H73" s="28">
        <f>0+0+D73</f>
        <v>0</v>
      </c>
      <c r="I73" s="28">
        <f t="shared" si="2"/>
        <v>92049.78</v>
      </c>
      <c r="J73" s="233">
        <f>I75</f>
        <v>69269.471297915268</v>
      </c>
      <c r="K73" s="233">
        <f>K70</f>
        <v>28793.075468023533</v>
      </c>
      <c r="L73" s="252">
        <f>J73-K73</f>
        <v>40476.395829891735</v>
      </c>
      <c r="M73" s="34"/>
      <c r="N73" s="32"/>
      <c r="O73" s="32"/>
      <c r="P73" s="33"/>
      <c r="Q73" s="28"/>
      <c r="R73" s="124"/>
      <c r="S73" s="35"/>
    </row>
    <row r="74" spans="2:19" x14ac:dyDescent="0.25">
      <c r="B74" s="235" t="s">
        <v>152</v>
      </c>
      <c r="C74" s="221">
        <f>C62</f>
        <v>22780.304000000004</v>
      </c>
      <c r="D74" s="228">
        <f>D62</f>
        <v>0</v>
      </c>
      <c r="E74" s="228">
        <f>SUM(C74:D74)</f>
        <v>22780.304000000004</v>
      </c>
      <c r="F74" s="228">
        <f>F73*$N$25</f>
        <v>22780.308702084738</v>
      </c>
      <c r="G74" s="228">
        <f>G73*$N$25</f>
        <v>23140.159246805651</v>
      </c>
      <c r="H74" s="228">
        <f>H73*$N$25</f>
        <v>0</v>
      </c>
      <c r="I74" s="221">
        <f t="shared" si="2"/>
        <v>22780.308702084738</v>
      </c>
      <c r="J74" s="28"/>
      <c r="K74" s="28"/>
      <c r="L74" s="236">
        <f>G75+H75-K73</f>
        <v>41570.615285170825</v>
      </c>
      <c r="M74" s="34"/>
      <c r="N74" s="32"/>
      <c r="O74" s="32"/>
      <c r="P74" s="33"/>
      <c r="Q74" s="28"/>
      <c r="R74" s="27"/>
      <c r="S74" s="35"/>
    </row>
    <row r="75" spans="2:19" x14ac:dyDescent="0.25">
      <c r="B75" s="258" t="s">
        <v>153</v>
      </c>
      <c r="C75" s="238">
        <f t="shared" ref="C75:H75" si="7">C73-C74</f>
        <v>69269.456999999995</v>
      </c>
      <c r="D75" s="239">
        <f t="shared" si="7"/>
        <v>0</v>
      </c>
      <c r="E75" s="239">
        <f t="shared" si="7"/>
        <v>69269.456999999995</v>
      </c>
      <c r="F75" s="253">
        <f t="shared" si="7"/>
        <v>69269.471297915268</v>
      </c>
      <c r="G75" s="238">
        <f t="shared" si="7"/>
        <v>70363.690753194358</v>
      </c>
      <c r="H75" s="239">
        <f t="shared" si="7"/>
        <v>0</v>
      </c>
      <c r="I75" s="238">
        <f t="shared" si="2"/>
        <v>69269.471297915268</v>
      </c>
      <c r="J75" s="254" t="s">
        <v>34</v>
      </c>
      <c r="K75" s="255"/>
      <c r="L75" s="256"/>
      <c r="M75" s="34"/>
      <c r="N75" s="32"/>
      <c r="O75" s="32"/>
      <c r="P75" s="33"/>
      <c r="Q75" s="251">
        <f>G197</f>
        <v>31220.449999999997</v>
      </c>
      <c r="R75" s="251">
        <f>L73-Q75</f>
        <v>9255.945829891738</v>
      </c>
      <c r="S75" s="72">
        <f>L74-Q75</f>
        <v>10350.165285170828</v>
      </c>
    </row>
    <row r="76" spans="2:19" x14ac:dyDescent="0.25">
      <c r="B76" s="1" t="s">
        <v>21</v>
      </c>
      <c r="C76" s="28">
        <f>C61</f>
        <v>92049.760999999999</v>
      </c>
      <c r="D76" s="28">
        <f>D61</f>
        <v>0</v>
      </c>
      <c r="E76" s="28">
        <f>SUM(C76:D76)</f>
        <v>92049.760999999999</v>
      </c>
      <c r="F76" s="232">
        <v>92049.78</v>
      </c>
      <c r="G76" s="26">
        <v>92158.28</v>
      </c>
      <c r="H76" s="28">
        <f>0+0+D76</f>
        <v>0</v>
      </c>
      <c r="I76" s="28">
        <f t="shared" si="2"/>
        <v>92049.78</v>
      </c>
      <c r="J76" s="233">
        <f>I78</f>
        <v>69269.471297915268</v>
      </c>
      <c r="K76" s="233">
        <f>K73</f>
        <v>28793.075468023533</v>
      </c>
      <c r="L76" s="252">
        <f>J76-K76</f>
        <v>40476.395829891735</v>
      </c>
      <c r="M76" s="34"/>
      <c r="N76" s="32"/>
      <c r="O76" s="32"/>
      <c r="P76" s="33"/>
      <c r="Q76" s="42"/>
      <c r="R76" s="101"/>
      <c r="S76" s="77"/>
    </row>
    <row r="77" spans="2:19" x14ac:dyDescent="0.25">
      <c r="B77" s="235" t="s">
        <v>152</v>
      </c>
      <c r="C77" s="221">
        <f>C62</f>
        <v>22780.304000000004</v>
      </c>
      <c r="D77" s="228">
        <f>D62</f>
        <v>0</v>
      </c>
      <c r="E77" s="228">
        <f>SUM(C77:D77)</f>
        <v>22780.304000000004</v>
      </c>
      <c r="F77" s="228">
        <f>F76*$N$25</f>
        <v>22780.308702084738</v>
      </c>
      <c r="G77" s="228">
        <f>G76*$N$25</f>
        <v>22807.160080699396</v>
      </c>
      <c r="H77" s="228">
        <f>H76*$N$25</f>
        <v>0</v>
      </c>
      <c r="I77" s="221">
        <f t="shared" si="2"/>
        <v>22780.308702084738</v>
      </c>
      <c r="J77" s="28"/>
      <c r="K77" s="28"/>
      <c r="L77" s="236">
        <f>G78+H78-K76</f>
        <v>40558.04445127707</v>
      </c>
      <c r="M77" s="34"/>
      <c r="N77" s="32"/>
      <c r="O77" s="32"/>
      <c r="P77" s="33"/>
      <c r="Q77" s="28"/>
      <c r="R77" s="27"/>
      <c r="S77" s="35"/>
    </row>
    <row r="78" spans="2:19" x14ac:dyDescent="0.25">
      <c r="B78" s="258" t="s">
        <v>153</v>
      </c>
      <c r="C78" s="238">
        <f t="shared" ref="C78:H78" si="8">C76-C77</f>
        <v>69269.456999999995</v>
      </c>
      <c r="D78" s="239">
        <f t="shared" si="8"/>
        <v>0</v>
      </c>
      <c r="E78" s="239">
        <f t="shared" si="8"/>
        <v>69269.456999999995</v>
      </c>
      <c r="F78" s="241">
        <f t="shared" si="8"/>
        <v>69269.471297915268</v>
      </c>
      <c r="G78" s="242">
        <f t="shared" si="8"/>
        <v>69351.119919300603</v>
      </c>
      <c r="H78" s="240">
        <f t="shared" si="8"/>
        <v>0</v>
      </c>
      <c r="I78" s="242">
        <f t="shared" si="2"/>
        <v>69269.471297915268</v>
      </c>
      <c r="J78" s="254" t="s">
        <v>34</v>
      </c>
      <c r="K78" s="255"/>
      <c r="L78" s="256"/>
      <c r="M78" s="34"/>
      <c r="N78" s="32"/>
      <c r="O78" s="32"/>
      <c r="P78" s="33"/>
      <c r="Q78" s="246">
        <f>G208</f>
        <v>66668.13</v>
      </c>
      <c r="R78" s="246">
        <f>L76-Q78</f>
        <v>-26191.73417010827</v>
      </c>
      <c r="S78" s="247">
        <f>L77-Q78</f>
        <v>-26110.085548722935</v>
      </c>
    </row>
    <row r="79" spans="2:19" x14ac:dyDescent="0.25">
      <c r="B79" s="1" t="s">
        <v>22</v>
      </c>
      <c r="C79" s="28">
        <f>G32</f>
        <v>97593.8</v>
      </c>
      <c r="D79" s="28">
        <f>H33</f>
        <v>0</v>
      </c>
      <c r="E79" s="28">
        <f>SUM(C79:D79)</f>
        <v>97593.8</v>
      </c>
      <c r="F79" s="232">
        <v>97593.79</v>
      </c>
      <c r="G79" s="26">
        <v>92004.95</v>
      </c>
      <c r="H79" s="28">
        <f>0+0+D79</f>
        <v>0</v>
      </c>
      <c r="I79" s="28">
        <f t="shared" si="2"/>
        <v>97593.79</v>
      </c>
      <c r="J79" s="233">
        <f>I81</f>
        <v>74805.392335025375</v>
      </c>
      <c r="K79" s="233">
        <f>P42+R42</f>
        <v>30469.308517959878</v>
      </c>
      <c r="L79" s="252">
        <f>J79-K79</f>
        <v>44336.083817065497</v>
      </c>
      <c r="M79" s="34"/>
      <c r="N79" s="32"/>
      <c r="O79" s="32"/>
      <c r="P79" s="33"/>
      <c r="Q79" s="28"/>
      <c r="R79" s="124"/>
      <c r="S79" s="35"/>
    </row>
    <row r="80" spans="2:19" x14ac:dyDescent="0.25">
      <c r="B80" s="235" t="s">
        <v>152</v>
      </c>
      <c r="C80" s="228">
        <f>C79*$N$33</f>
        <v>22788.400000000001</v>
      </c>
      <c r="D80" s="228">
        <f>D79*$N$33</f>
        <v>0</v>
      </c>
      <c r="E80" s="228">
        <f>SUM(C80:D80)</f>
        <v>22788.400000000001</v>
      </c>
      <c r="F80" s="228">
        <f>F79*$N$33</f>
        <v>22788.397664974618</v>
      </c>
      <c r="G80" s="228">
        <f>G79*$N$33</f>
        <v>21483.389340101523</v>
      </c>
      <c r="H80" s="228">
        <f>H79*$N$33</f>
        <v>0</v>
      </c>
      <c r="I80" s="221">
        <f t="shared" si="2"/>
        <v>22788.397664974618</v>
      </c>
      <c r="J80" s="28"/>
      <c r="K80" s="28"/>
      <c r="L80" s="236">
        <f>G81+H81-K79</f>
        <v>40052.252141938596</v>
      </c>
      <c r="M80" s="34"/>
      <c r="N80" s="32"/>
      <c r="O80" s="32"/>
      <c r="P80" s="33"/>
      <c r="Q80" s="28"/>
      <c r="R80" s="27"/>
      <c r="S80" s="35"/>
    </row>
    <row r="81" spans="2:19" x14ac:dyDescent="0.25">
      <c r="B81" s="258" t="s">
        <v>153</v>
      </c>
      <c r="C81" s="238">
        <f t="shared" ref="C81:H81" si="9">C79-C80</f>
        <v>74805.399999999994</v>
      </c>
      <c r="D81" s="239">
        <f t="shared" si="9"/>
        <v>0</v>
      </c>
      <c r="E81" s="239">
        <f t="shared" si="9"/>
        <v>74805.399999999994</v>
      </c>
      <c r="F81" s="241">
        <f t="shared" si="9"/>
        <v>74805.392335025375</v>
      </c>
      <c r="G81" s="242">
        <f t="shared" si="9"/>
        <v>70521.560659898474</v>
      </c>
      <c r="H81" s="240">
        <f t="shared" si="9"/>
        <v>0</v>
      </c>
      <c r="I81" s="242">
        <f t="shared" si="2"/>
        <v>74805.392335025375</v>
      </c>
      <c r="J81" s="254" t="s">
        <v>34</v>
      </c>
      <c r="K81" s="255"/>
      <c r="L81" s="256"/>
      <c r="M81" s="34"/>
      <c r="N81" s="32"/>
      <c r="O81" s="32"/>
      <c r="P81" s="33"/>
      <c r="Q81" s="251">
        <f>G220</f>
        <v>18911.990000000002</v>
      </c>
      <c r="R81" s="251">
        <f>L79-Q81</f>
        <v>25424.093817065495</v>
      </c>
      <c r="S81" s="72">
        <f>L80-Q81</f>
        <v>21140.262141938594</v>
      </c>
    </row>
    <row r="82" spans="2:19" x14ac:dyDescent="0.25">
      <c r="B82" s="1" t="s">
        <v>24</v>
      </c>
      <c r="C82" s="28">
        <f>C79</f>
        <v>97593.8</v>
      </c>
      <c r="D82" s="28">
        <f>H33</f>
        <v>0</v>
      </c>
      <c r="E82" s="28">
        <f>SUM(C82:D82)</f>
        <v>97593.8</v>
      </c>
      <c r="F82" s="232">
        <v>97593.79</v>
      </c>
      <c r="G82" s="26">
        <v>99793.66</v>
      </c>
      <c r="H82" s="28">
        <f>0+0+D82</f>
        <v>0</v>
      </c>
      <c r="I82" s="28">
        <f t="shared" si="2"/>
        <v>97593.79</v>
      </c>
      <c r="J82" s="233">
        <f>I84</f>
        <v>74805.392335025375</v>
      </c>
      <c r="K82" s="233">
        <f>K79</f>
        <v>30469.308517959878</v>
      </c>
      <c r="L82" s="252">
        <f>J82-K82</f>
        <v>44336.083817065497</v>
      </c>
      <c r="M82" s="30"/>
      <c r="N82" s="32"/>
      <c r="O82" s="32"/>
      <c r="P82" s="33"/>
      <c r="Q82" s="28"/>
      <c r="R82" s="34"/>
      <c r="S82" s="35"/>
    </row>
    <row r="83" spans="2:19" x14ac:dyDescent="0.25">
      <c r="B83" s="235" t="s">
        <v>152</v>
      </c>
      <c r="C83" s="249">
        <f>C80</f>
        <v>22788.400000000001</v>
      </c>
      <c r="D83" s="221">
        <v>0</v>
      </c>
      <c r="E83" s="228">
        <f>SUM(C83:D83)</f>
        <v>22788.400000000001</v>
      </c>
      <c r="F83" s="228">
        <f>F82*$N$33</f>
        <v>22788.397664974618</v>
      </c>
      <c r="G83" s="228">
        <f>G82*$N$33</f>
        <v>23302.072893401015</v>
      </c>
      <c r="H83" s="228">
        <f>H82*$N$25</f>
        <v>0</v>
      </c>
      <c r="I83" s="221">
        <f t="shared" si="2"/>
        <v>22788.397664974618</v>
      </c>
      <c r="J83" s="28"/>
      <c r="K83" s="28"/>
      <c r="L83" s="236">
        <f>G84+H84-K82</f>
        <v>46022.278588639114</v>
      </c>
      <c r="M83" s="45"/>
      <c r="N83" s="32"/>
      <c r="O83" s="32"/>
      <c r="P83" s="33"/>
      <c r="Q83" s="28"/>
      <c r="R83" s="34"/>
      <c r="S83" s="35"/>
    </row>
    <row r="84" spans="2:19" x14ac:dyDescent="0.25">
      <c r="B84" s="258" t="s">
        <v>153</v>
      </c>
      <c r="C84" s="238">
        <f t="shared" ref="C84:H84" si="10">C82-C83</f>
        <v>74805.399999999994</v>
      </c>
      <c r="D84" s="239">
        <f t="shared" si="10"/>
        <v>0</v>
      </c>
      <c r="E84" s="239">
        <f t="shared" si="10"/>
        <v>74805.399999999994</v>
      </c>
      <c r="F84" s="241">
        <f t="shared" si="10"/>
        <v>74805.392335025375</v>
      </c>
      <c r="G84" s="238">
        <f t="shared" si="10"/>
        <v>76491.587106598992</v>
      </c>
      <c r="H84" s="239">
        <f t="shared" si="10"/>
        <v>0</v>
      </c>
      <c r="I84" s="238">
        <f t="shared" si="2"/>
        <v>74805.392335025375</v>
      </c>
      <c r="J84" s="254" t="s">
        <v>34</v>
      </c>
      <c r="K84" s="255"/>
      <c r="L84" s="256"/>
      <c r="M84" s="34"/>
      <c r="N84" s="32"/>
      <c r="O84" s="32"/>
      <c r="P84" s="33"/>
      <c r="Q84" s="251">
        <f>G227</f>
        <v>16079.38</v>
      </c>
      <c r="R84" s="259">
        <f>L82-Q84</f>
        <v>28256.7038170655</v>
      </c>
      <c r="S84" s="72">
        <f>L83-Q84</f>
        <v>29942.898588639116</v>
      </c>
    </row>
    <row r="85" spans="2:19" x14ac:dyDescent="0.25">
      <c r="B85" s="1" t="s">
        <v>26</v>
      </c>
      <c r="C85" s="28">
        <f>C79</f>
        <v>97593.8</v>
      </c>
      <c r="D85" s="28">
        <f>H33</f>
        <v>0</v>
      </c>
      <c r="E85" s="28">
        <f>SUM(C85:D85)</f>
        <v>97593.8</v>
      </c>
      <c r="F85" s="40">
        <v>97593.79</v>
      </c>
      <c r="G85" s="41">
        <v>92639.73</v>
      </c>
      <c r="H85" s="42">
        <f>0+0+D85</f>
        <v>0</v>
      </c>
      <c r="I85" s="128">
        <f t="shared" si="2"/>
        <v>97593.79</v>
      </c>
      <c r="J85" s="233">
        <f>I87</f>
        <v>74805.392335025375</v>
      </c>
      <c r="K85" s="233">
        <f>P42+R42</f>
        <v>30469.308517959878</v>
      </c>
      <c r="L85" s="252">
        <f>J85-K85</f>
        <v>44336.083817065497</v>
      </c>
      <c r="M85" s="34"/>
      <c r="N85" s="32"/>
      <c r="O85" s="32"/>
      <c r="P85" s="33"/>
      <c r="Q85" s="28"/>
      <c r="R85" s="34"/>
      <c r="S85" s="35"/>
    </row>
    <row r="86" spans="2:19" x14ac:dyDescent="0.25">
      <c r="B86" s="235" t="s">
        <v>152</v>
      </c>
      <c r="C86" s="249">
        <f>C83</f>
        <v>22788.400000000001</v>
      </c>
      <c r="D86" s="221">
        <v>0</v>
      </c>
      <c r="E86" s="228">
        <f>SUM(C86:D86)</f>
        <v>22788.400000000001</v>
      </c>
      <c r="F86" s="228">
        <f>F85*$N$33</f>
        <v>22788.397664974618</v>
      </c>
      <c r="G86" s="228">
        <f>G85*$N$33</f>
        <v>21631.612081218274</v>
      </c>
      <c r="H86" s="228">
        <f>H85*$N$25</f>
        <v>0</v>
      </c>
      <c r="I86" s="221">
        <f t="shared" si="2"/>
        <v>22788.397664974618</v>
      </c>
      <c r="J86" s="28"/>
      <c r="K86" s="28"/>
      <c r="L86" s="236">
        <f>G87+H87-K85</f>
        <v>40538.80940082184</v>
      </c>
      <c r="M86" s="34"/>
      <c r="N86" s="32"/>
      <c r="O86" s="32"/>
      <c r="P86" s="33"/>
      <c r="Q86" s="28"/>
      <c r="R86" s="34"/>
      <c r="S86" s="35"/>
    </row>
    <row r="87" spans="2:19" x14ac:dyDescent="0.25">
      <c r="B87" s="258" t="s">
        <v>153</v>
      </c>
      <c r="C87" s="238">
        <f t="shared" ref="C87:H87" si="11">C85-C86</f>
        <v>74805.399999999994</v>
      </c>
      <c r="D87" s="239">
        <f t="shared" si="11"/>
        <v>0</v>
      </c>
      <c r="E87" s="240">
        <f t="shared" si="11"/>
        <v>74805.399999999994</v>
      </c>
      <c r="F87" s="241">
        <f t="shared" si="11"/>
        <v>74805.392335025375</v>
      </c>
      <c r="G87" s="242">
        <f t="shared" si="11"/>
        <v>71008.117918781718</v>
      </c>
      <c r="H87" s="240">
        <f t="shared" si="11"/>
        <v>0</v>
      </c>
      <c r="I87" s="242">
        <f t="shared" si="2"/>
        <v>74805.392335025375</v>
      </c>
      <c r="J87" s="254" t="s">
        <v>34</v>
      </c>
      <c r="K87" s="255"/>
      <c r="L87" s="256"/>
      <c r="M87" s="34"/>
      <c r="N87" s="32"/>
      <c r="O87" s="32"/>
      <c r="P87" s="33"/>
      <c r="Q87" s="251">
        <f>G239</f>
        <v>79303.62999999999</v>
      </c>
      <c r="R87" s="259">
        <f>L85-Q87</f>
        <v>-34967.546182934493</v>
      </c>
      <c r="S87" s="72">
        <f>L86-Q87</f>
        <v>-38764.820599178151</v>
      </c>
    </row>
    <row r="88" spans="2:19" x14ac:dyDescent="0.25">
      <c r="B88" s="1" t="s">
        <v>28</v>
      </c>
      <c r="C88" s="28">
        <f>C79</f>
        <v>97593.8</v>
      </c>
      <c r="D88" s="28">
        <f>H33</f>
        <v>0</v>
      </c>
      <c r="E88" s="28">
        <f>SUM(C88:D88)</f>
        <v>97593.8</v>
      </c>
      <c r="F88" s="232">
        <v>97593.79</v>
      </c>
      <c r="G88" s="26">
        <v>99035.73</v>
      </c>
      <c r="H88" s="28">
        <f>0+0+D88</f>
        <v>0</v>
      </c>
      <c r="I88" s="28">
        <f t="shared" si="2"/>
        <v>97593.79</v>
      </c>
      <c r="J88" s="233">
        <f>I90</f>
        <v>74805.392335025375</v>
      </c>
      <c r="K88" s="233">
        <f>P42+R42</f>
        <v>30469.308517959878</v>
      </c>
      <c r="L88" s="252">
        <f>J88-K88</f>
        <v>44336.083817065497</v>
      </c>
      <c r="M88" s="34"/>
      <c r="N88" s="32"/>
      <c r="O88" s="32"/>
      <c r="P88" s="33"/>
      <c r="Q88" s="28"/>
      <c r="R88" s="34"/>
      <c r="S88" s="35"/>
    </row>
    <row r="89" spans="2:19" x14ac:dyDescent="0.25">
      <c r="B89" s="235" t="s">
        <v>152</v>
      </c>
      <c r="C89" s="249">
        <f>C86</f>
        <v>22788.400000000001</v>
      </c>
      <c r="D89" s="221">
        <v>0</v>
      </c>
      <c r="E89" s="228">
        <f>SUM(C89:D89)</f>
        <v>22788.400000000001</v>
      </c>
      <c r="F89" s="228">
        <f>F88*$N$33</f>
        <v>22788.397664974618</v>
      </c>
      <c r="G89" s="228">
        <f>G88*$N$33</f>
        <v>23125.094314720813</v>
      </c>
      <c r="H89" s="228">
        <f>H88*$N$25</f>
        <v>0</v>
      </c>
      <c r="I89" s="221">
        <f t="shared" si="2"/>
        <v>22788.397664974618</v>
      </c>
      <c r="J89" s="28"/>
      <c r="K89" s="28"/>
      <c r="L89" s="236">
        <f>G90+H90-K88</f>
        <v>45441.327167319301</v>
      </c>
      <c r="M89" s="34"/>
      <c r="N89" s="32"/>
      <c r="O89" s="32"/>
      <c r="P89" s="33"/>
      <c r="Q89" s="28"/>
      <c r="R89" s="34"/>
      <c r="S89" s="35"/>
    </row>
    <row r="90" spans="2:19" x14ac:dyDescent="0.25">
      <c r="B90" s="260" t="s">
        <v>153</v>
      </c>
      <c r="C90" s="221">
        <f t="shared" ref="C90:H90" si="12">C88-C89</f>
        <v>74805.399999999994</v>
      </c>
      <c r="D90" s="228">
        <f t="shared" si="12"/>
        <v>0</v>
      </c>
      <c r="E90" s="239">
        <f t="shared" si="12"/>
        <v>74805.399999999994</v>
      </c>
      <c r="F90" s="253">
        <f t="shared" si="12"/>
        <v>74805.392335025375</v>
      </c>
      <c r="G90" s="238">
        <f t="shared" si="12"/>
        <v>75910.63568527918</v>
      </c>
      <c r="H90" s="239">
        <f t="shared" si="12"/>
        <v>0</v>
      </c>
      <c r="I90" s="238">
        <f t="shared" si="2"/>
        <v>74805.392335025375</v>
      </c>
      <c r="J90" s="261" t="s">
        <v>34</v>
      </c>
      <c r="K90" s="262"/>
      <c r="L90" s="263"/>
      <c r="M90" s="63"/>
      <c r="N90" s="60"/>
      <c r="O90" s="60"/>
      <c r="P90" s="61"/>
      <c r="Q90" s="251">
        <f>G246</f>
        <v>480.30999999999995</v>
      </c>
      <c r="R90" s="259">
        <f>L88-Q90</f>
        <v>43855.773817065499</v>
      </c>
      <c r="S90" s="72">
        <f>L89-Q90</f>
        <v>44961.017167319304</v>
      </c>
    </row>
    <row r="91" spans="2:19" x14ac:dyDescent="0.25">
      <c r="B91" s="1" t="s">
        <v>30</v>
      </c>
      <c r="C91" s="28">
        <f>C79</f>
        <v>97593.8</v>
      </c>
      <c r="D91" s="28">
        <f>H33</f>
        <v>0</v>
      </c>
      <c r="E91" s="42">
        <f>SUM(C91:D91)</f>
        <v>97593.8</v>
      </c>
      <c r="F91" s="40">
        <v>97593.79</v>
      </c>
      <c r="G91" s="41">
        <v>99898.5</v>
      </c>
      <c r="H91" s="42"/>
      <c r="I91" s="128">
        <f t="shared" si="2"/>
        <v>97593.79</v>
      </c>
      <c r="J91" s="248">
        <f>I93</f>
        <v>74805.392335025375</v>
      </c>
      <c r="K91" s="248">
        <f>P42+R42</f>
        <v>30469.308517959878</v>
      </c>
      <c r="L91" s="248">
        <f>J91-K91</f>
        <v>44336.083817065497</v>
      </c>
      <c r="M91" s="32"/>
      <c r="N91" s="32"/>
      <c r="O91" s="32"/>
      <c r="P91" s="33"/>
      <c r="Q91" s="42"/>
      <c r="R91" s="12"/>
      <c r="S91" s="77"/>
    </row>
    <row r="92" spans="2:19" x14ac:dyDescent="0.25">
      <c r="B92" s="235" t="s">
        <v>152</v>
      </c>
      <c r="C92" s="249">
        <f>C89</f>
        <v>22788.400000000001</v>
      </c>
      <c r="D92" s="221">
        <v>0</v>
      </c>
      <c r="E92" s="221">
        <f>SUM(C92:D92)</f>
        <v>22788.400000000001</v>
      </c>
      <c r="F92" s="228">
        <f>F91*$N$33</f>
        <v>22788.397664974618</v>
      </c>
      <c r="G92" s="228">
        <f>G91*$N$33</f>
        <v>23326.553299492385</v>
      </c>
      <c r="H92" s="228">
        <f>H91*$N$25</f>
        <v>0</v>
      </c>
      <c r="I92" s="249">
        <f t="shared" si="2"/>
        <v>22788.397664974618</v>
      </c>
      <c r="J92" s="28"/>
      <c r="K92" s="28"/>
      <c r="L92" s="236">
        <f>G93+H93-K91</f>
        <v>46102.638182547737</v>
      </c>
      <c r="M92" s="32"/>
      <c r="N92" s="32"/>
      <c r="O92" s="32"/>
      <c r="P92" s="33"/>
      <c r="Q92" s="28"/>
      <c r="R92" s="34"/>
      <c r="S92" s="35"/>
    </row>
    <row r="93" spans="2:19" x14ac:dyDescent="0.25">
      <c r="B93" s="258" t="s">
        <v>153</v>
      </c>
      <c r="C93" s="238">
        <f t="shared" ref="C93:H93" si="13">C91-C92</f>
        <v>74805.399999999994</v>
      </c>
      <c r="D93" s="239">
        <f t="shared" si="13"/>
        <v>0</v>
      </c>
      <c r="E93" s="238">
        <f t="shared" si="13"/>
        <v>74805.399999999994</v>
      </c>
      <c r="F93" s="239">
        <f t="shared" si="13"/>
        <v>74805.392335025375</v>
      </c>
      <c r="G93" s="238">
        <f t="shared" si="13"/>
        <v>76571.946700507615</v>
      </c>
      <c r="H93" s="238">
        <f t="shared" si="13"/>
        <v>0</v>
      </c>
      <c r="I93" s="250">
        <f t="shared" si="2"/>
        <v>74805.392335025375</v>
      </c>
      <c r="J93" s="157" t="s">
        <v>34</v>
      </c>
      <c r="K93" s="157"/>
      <c r="L93" s="157"/>
      <c r="M93" s="32"/>
      <c r="N93" s="32"/>
      <c r="O93" s="32"/>
      <c r="P93" s="33"/>
      <c r="Q93" s="251">
        <f>G255</f>
        <v>14554.14</v>
      </c>
      <c r="R93" s="259">
        <f>L91-Q93</f>
        <v>29781.943817065498</v>
      </c>
      <c r="S93" s="72">
        <f>L92-Q93</f>
        <v>31548.498182547737</v>
      </c>
    </row>
    <row r="94" spans="2:19" x14ac:dyDescent="0.25">
      <c r="B94" s="1" t="s">
        <v>32</v>
      </c>
      <c r="C94" s="28">
        <f>G32</f>
        <v>97593.8</v>
      </c>
      <c r="D94" s="28">
        <f>H33</f>
        <v>0</v>
      </c>
      <c r="E94" s="42">
        <f>SUM(C94:D94)</f>
        <v>97593.8</v>
      </c>
      <c r="F94" s="53">
        <v>97593.79</v>
      </c>
      <c r="G94" s="26">
        <v>115345.05</v>
      </c>
      <c r="H94" s="66"/>
      <c r="I94" s="144">
        <f t="shared" si="2"/>
        <v>97593.79</v>
      </c>
      <c r="J94" s="248">
        <f>I96</f>
        <v>74805.392335025375</v>
      </c>
      <c r="K94" s="233">
        <f>P42+R42</f>
        <v>30469.308517959878</v>
      </c>
      <c r="L94" s="252">
        <f>J94-K94</f>
        <v>44336.083817065497</v>
      </c>
      <c r="M94" s="34"/>
      <c r="N94" s="32"/>
      <c r="O94" s="32"/>
      <c r="P94" s="33"/>
      <c r="Q94" s="28"/>
      <c r="R94" s="34"/>
      <c r="S94" s="35"/>
    </row>
    <row r="95" spans="2:19" x14ac:dyDescent="0.25">
      <c r="B95" s="235" t="s">
        <v>152</v>
      </c>
      <c r="C95" s="249">
        <f>C92</f>
        <v>22788.400000000001</v>
      </c>
      <c r="D95" s="221">
        <v>0</v>
      </c>
      <c r="E95" s="228">
        <f>SUM(C95:D95)</f>
        <v>22788.400000000001</v>
      </c>
      <c r="F95" s="66">
        <f>F94*$N$33</f>
        <v>22788.397664974618</v>
      </c>
      <c r="G95" s="221">
        <f>G94*$N$33</f>
        <v>26933.361928934013</v>
      </c>
      <c r="H95" s="66">
        <f>H94*$N$25</f>
        <v>0</v>
      </c>
      <c r="I95" s="221">
        <f t="shared" si="2"/>
        <v>22788.397664974618</v>
      </c>
      <c r="J95" s="28"/>
      <c r="K95" s="28"/>
      <c r="L95" s="236">
        <f>G96+H96-K94</f>
        <v>57942.379553106111</v>
      </c>
      <c r="M95" s="34"/>
      <c r="N95" s="32"/>
      <c r="O95" s="32"/>
      <c r="P95" s="33"/>
      <c r="Q95" s="28"/>
      <c r="R95" s="34"/>
      <c r="S95" s="35"/>
    </row>
    <row r="96" spans="2:19" x14ac:dyDescent="0.25">
      <c r="B96" s="264" t="s">
        <v>153</v>
      </c>
      <c r="C96" s="238">
        <f t="shared" ref="C96:H96" si="14">C94-C95</f>
        <v>74805.399999999994</v>
      </c>
      <c r="D96" s="239">
        <f t="shared" si="14"/>
        <v>0</v>
      </c>
      <c r="E96" s="239">
        <f t="shared" si="14"/>
        <v>74805.399999999994</v>
      </c>
      <c r="F96" s="253">
        <f t="shared" si="14"/>
        <v>74805.392335025375</v>
      </c>
      <c r="G96" s="238">
        <f t="shared" si="14"/>
        <v>88411.68807106599</v>
      </c>
      <c r="H96" s="239">
        <f t="shared" si="14"/>
        <v>0</v>
      </c>
      <c r="I96" s="238">
        <f t="shared" si="2"/>
        <v>74805.392335025375</v>
      </c>
      <c r="J96" s="254" t="s">
        <v>34</v>
      </c>
      <c r="K96" s="255"/>
      <c r="L96" s="256"/>
      <c r="M96" s="34"/>
      <c r="N96" s="32"/>
      <c r="O96" s="32"/>
      <c r="P96" s="33"/>
      <c r="Q96" s="251">
        <f>G265</f>
        <v>28259.97</v>
      </c>
      <c r="R96" s="259">
        <f>L94-Q96</f>
        <v>16076.113817065496</v>
      </c>
      <c r="S96" s="72">
        <f>L95-Q96</f>
        <v>29682.40955310611</v>
      </c>
    </row>
    <row r="97" spans="2:22" ht="15" customHeight="1" x14ac:dyDescent="0.25">
      <c r="B97" s="265" t="s">
        <v>40</v>
      </c>
      <c r="C97" s="69">
        <f t="shared" ref="C97:I99" si="15">C61+C64+C67+C70+C73+C76+C79+C82+C85+C88+C91+C94</f>
        <v>1137861.3660000002</v>
      </c>
      <c r="D97" s="69">
        <f t="shared" si="15"/>
        <v>0</v>
      </c>
      <c r="E97" s="69">
        <f t="shared" si="15"/>
        <v>1137861.3660000002</v>
      </c>
      <c r="F97" s="67">
        <f t="shared" si="15"/>
        <v>1137861.4200000002</v>
      </c>
      <c r="G97" s="69">
        <f t="shared" si="15"/>
        <v>1137844.28</v>
      </c>
      <c r="H97" s="69">
        <f t="shared" si="15"/>
        <v>0</v>
      </c>
      <c r="I97" s="69">
        <f t="shared" si="15"/>
        <v>1137861.4200000002</v>
      </c>
      <c r="J97" s="266">
        <f>SUM(J61:J96)</f>
        <v>864449.18179764377</v>
      </c>
      <c r="K97" s="82">
        <f>SUM(K61:K96)</f>
        <v>357431.39391590055</v>
      </c>
      <c r="L97" s="82">
        <f>L61+L64+L67+L70+L73+L76+L79+L82+L85+L88+L91+L94</f>
        <v>507017.78788174345</v>
      </c>
      <c r="M97" s="267"/>
      <c r="N97" s="267"/>
      <c r="O97" s="267"/>
      <c r="P97" s="267"/>
      <c r="Q97" s="82">
        <f>Q63+Q66+Q69+Q72+Q75+Q78+Q81+Q84+Q87+Q90+Q93+Q96</f>
        <v>331602.81999999995</v>
      </c>
      <c r="R97" s="82">
        <f>R63+R66+R69+R72+R75+R78+R81+R84+R87+R90+R93+R96</f>
        <v>175414.96788174339</v>
      </c>
      <c r="S97" s="68">
        <f>S63+S66+S69+S72+S75+S78+S81+S84+S87+S90+S93+S96</f>
        <v>175585.91707492014</v>
      </c>
    </row>
    <row r="98" spans="2:22" ht="15" customHeight="1" x14ac:dyDescent="0.25">
      <c r="B98" s="235" t="s">
        <v>152</v>
      </c>
      <c r="C98" s="26">
        <f t="shared" si="15"/>
        <v>273412.22399999999</v>
      </c>
      <c r="D98" s="26">
        <f t="shared" si="15"/>
        <v>0</v>
      </c>
      <c r="E98" s="26">
        <f t="shared" si="15"/>
        <v>273412.22399999999</v>
      </c>
      <c r="F98" s="268">
        <f t="shared" si="15"/>
        <v>273412.23820235615</v>
      </c>
      <c r="G98" s="269">
        <f t="shared" si="15"/>
        <v>273224.14900917938</v>
      </c>
      <c r="H98" s="269">
        <f t="shared" si="15"/>
        <v>0</v>
      </c>
      <c r="I98" s="269">
        <f t="shared" si="15"/>
        <v>273412.23820235615</v>
      </c>
      <c r="J98" s="67"/>
      <c r="K98" s="69"/>
      <c r="L98" s="270">
        <f>L62+L65+L68+L71+L74+L77+L80+L83+L86+L89+L92+L95</f>
        <v>507188.73707492009</v>
      </c>
      <c r="M98" s="271" t="s">
        <v>154</v>
      </c>
      <c r="N98" s="272"/>
      <c r="O98" s="273" t="s">
        <v>155</v>
      </c>
      <c r="P98" s="274"/>
      <c r="Q98" s="275"/>
      <c r="R98" s="136">
        <f>R97+R59+R58+R60</f>
        <v>209514.96788174339</v>
      </c>
      <c r="S98" s="136">
        <f>S97+S59+S58+S60</f>
        <v>156586.91707492014</v>
      </c>
    </row>
    <row r="99" spans="2:22" ht="15" customHeight="1" x14ac:dyDescent="0.25">
      <c r="B99" s="276" t="s">
        <v>153</v>
      </c>
      <c r="C99" s="277">
        <f t="shared" si="15"/>
        <v>864449.14200000011</v>
      </c>
      <c r="D99" s="277">
        <f t="shared" si="15"/>
        <v>0</v>
      </c>
      <c r="E99" s="277">
        <f t="shared" si="15"/>
        <v>864449.14200000011</v>
      </c>
      <c r="F99" s="278">
        <f t="shared" si="15"/>
        <v>864449.18179764377</v>
      </c>
      <c r="G99" s="279">
        <f t="shared" si="15"/>
        <v>864620.1309908207</v>
      </c>
      <c r="H99" s="279">
        <f t="shared" si="15"/>
        <v>0</v>
      </c>
      <c r="I99" s="279">
        <f t="shared" si="15"/>
        <v>864449.18179764377</v>
      </c>
      <c r="J99" s="280"/>
      <c r="K99" s="280"/>
      <c r="L99" s="280"/>
      <c r="M99" s="281"/>
      <c r="N99" s="282"/>
      <c r="O99" s="282"/>
      <c r="P99" s="282"/>
      <c r="Q99" s="149"/>
      <c r="R99" s="149"/>
      <c r="S99" s="236"/>
    </row>
    <row r="100" spans="2:22" ht="15" customHeight="1" x14ac:dyDescent="0.25">
      <c r="B100" s="207"/>
      <c r="C100" s="283"/>
      <c r="D100" s="283"/>
      <c r="E100" s="283"/>
      <c r="F100" s="284"/>
      <c r="G100" s="285"/>
      <c r="H100" s="284"/>
      <c r="I100" s="284"/>
      <c r="J100" s="283"/>
      <c r="K100" s="283"/>
      <c r="L100" s="283"/>
      <c r="M100" s="284"/>
      <c r="N100" s="284"/>
      <c r="O100" s="284"/>
      <c r="P100" s="284"/>
      <c r="Q100" s="284"/>
      <c r="R100" s="284"/>
    </row>
    <row r="101" spans="2:22" ht="12.75" hidden="1" customHeight="1" x14ac:dyDescent="0.25">
      <c r="B101" s="286" t="s">
        <v>156</v>
      </c>
      <c r="C101" s="286"/>
      <c r="D101" s="286"/>
      <c r="E101" s="286"/>
      <c r="F101" s="286"/>
      <c r="G101" s="286"/>
      <c r="H101" s="286"/>
      <c r="I101" s="286"/>
      <c r="J101" s="286"/>
      <c r="K101" s="286" t="s">
        <v>157</v>
      </c>
      <c r="L101" s="286"/>
    </row>
    <row r="102" spans="2:22" ht="15" customHeight="1" x14ac:dyDescent="0.25">
      <c r="B102" s="286" t="s">
        <v>156</v>
      </c>
      <c r="C102" s="286"/>
      <c r="D102" s="286"/>
      <c r="E102" s="286"/>
      <c r="F102" s="286"/>
      <c r="G102" s="286"/>
      <c r="H102" s="286"/>
      <c r="I102" s="286"/>
      <c r="J102" s="286"/>
      <c r="K102" s="286" t="s">
        <v>158</v>
      </c>
      <c r="L102" s="286"/>
      <c r="M102" s="286"/>
      <c r="N102" s="286"/>
      <c r="O102" s="286"/>
      <c r="P102" s="286"/>
      <c r="Q102" s="286"/>
      <c r="R102" s="286"/>
      <c r="S102" s="286"/>
      <c r="T102" s="286"/>
      <c r="U102" s="286"/>
      <c r="V102" s="286"/>
    </row>
    <row r="104" spans="2:22" ht="15.75" customHeight="1" x14ac:dyDescent="0.25">
      <c r="B104" s="210" t="s">
        <v>159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</row>
    <row r="106" spans="2:22" ht="15" customHeight="1" x14ac:dyDescent="0.25">
      <c r="B106" s="1"/>
      <c r="C106" s="2"/>
      <c r="D106" s="3"/>
      <c r="E106" s="4"/>
      <c r="F106" s="5" t="s">
        <v>0</v>
      </c>
      <c r="G106" s="5"/>
      <c r="H106" s="5"/>
      <c r="I106" s="5"/>
      <c r="J106" s="5" t="s">
        <v>1</v>
      </c>
      <c r="K106" s="5"/>
      <c r="L106" s="5"/>
      <c r="M106" s="5"/>
      <c r="N106" s="5"/>
      <c r="O106" s="5"/>
      <c r="P106" s="5"/>
      <c r="Q106" s="5"/>
      <c r="R106" s="6" t="s">
        <v>2</v>
      </c>
      <c r="S106" s="6"/>
    </row>
    <row r="107" spans="2:22" ht="15" customHeight="1" x14ac:dyDescent="0.25">
      <c r="B107" s="7" t="s">
        <v>3</v>
      </c>
      <c r="C107" s="7"/>
      <c r="D107" s="7"/>
      <c r="E107" s="7"/>
      <c r="F107" s="4" t="s">
        <v>4</v>
      </c>
      <c r="G107" s="8" t="s">
        <v>5</v>
      </c>
      <c r="H107" s="1" t="s">
        <v>6</v>
      </c>
      <c r="I107" s="9" t="s">
        <v>7</v>
      </c>
      <c r="J107" s="10" t="s">
        <v>8</v>
      </c>
      <c r="K107" s="10"/>
      <c r="L107" s="10"/>
      <c r="M107" s="10"/>
      <c r="N107" s="10"/>
      <c r="O107" s="10"/>
      <c r="P107" s="10"/>
      <c r="Q107" s="10"/>
      <c r="R107" s="11" t="s">
        <v>9</v>
      </c>
      <c r="S107" s="11"/>
    </row>
    <row r="108" spans="2:22" ht="15" customHeight="1" x14ac:dyDescent="0.25">
      <c r="B108" s="12"/>
      <c r="C108" s="13"/>
      <c r="D108" s="13"/>
      <c r="E108" s="14"/>
      <c r="F108" s="15" t="s">
        <v>10</v>
      </c>
      <c r="G108" s="16" t="s">
        <v>10</v>
      </c>
      <c r="H108" s="17" t="s">
        <v>10</v>
      </c>
      <c r="I108" s="12"/>
      <c r="J108" s="5" t="s">
        <v>11</v>
      </c>
      <c r="K108" s="5"/>
      <c r="L108" s="5"/>
      <c r="M108" s="5"/>
      <c r="N108" s="5"/>
      <c r="O108" s="5"/>
      <c r="P108" s="5"/>
      <c r="Q108" s="18" t="s">
        <v>12</v>
      </c>
      <c r="R108" s="19" t="s">
        <v>13</v>
      </c>
      <c r="S108" s="20" t="s">
        <v>14</v>
      </c>
    </row>
    <row r="109" spans="2:22" ht="15" customHeight="1" x14ac:dyDescent="0.25">
      <c r="B109" s="21" t="s">
        <v>15</v>
      </c>
      <c r="C109" s="22"/>
      <c r="D109" s="23"/>
      <c r="E109" s="24" t="s">
        <v>16</v>
      </c>
      <c r="F109" s="25">
        <v>12250.2</v>
      </c>
      <c r="G109" s="26">
        <f>10385.45-66.2</f>
        <v>10319.25</v>
      </c>
      <c r="H109" s="27"/>
      <c r="I109" s="28">
        <f t="shared" ref="I109:I120" si="16">F109+H109</f>
        <v>12250.2</v>
      </c>
      <c r="J109" s="29"/>
      <c r="K109" s="29"/>
      <c r="L109" s="30"/>
      <c r="M109" s="31"/>
      <c r="N109" s="31"/>
      <c r="O109" s="32"/>
      <c r="P109" s="33"/>
      <c r="Q109" s="33">
        <v>0</v>
      </c>
      <c r="R109" s="34"/>
      <c r="S109" s="35"/>
    </row>
    <row r="110" spans="2:22" ht="15" customHeight="1" x14ac:dyDescent="0.25">
      <c r="B110" s="36" t="s">
        <v>17</v>
      </c>
      <c r="C110" s="37"/>
      <c r="D110" s="38"/>
      <c r="E110" s="39"/>
      <c r="F110" s="40">
        <v>12250.2</v>
      </c>
      <c r="G110" s="41">
        <f>13102.8+2083.1</f>
        <v>15185.9</v>
      </c>
      <c r="H110" s="42"/>
      <c r="I110" s="42">
        <f t="shared" si="16"/>
        <v>12250.2</v>
      </c>
      <c r="J110" s="13"/>
      <c r="K110" s="13"/>
      <c r="L110" s="43"/>
      <c r="M110" s="44"/>
      <c r="N110" s="44"/>
      <c r="O110" s="45"/>
      <c r="P110" s="46"/>
      <c r="Q110" s="47"/>
      <c r="R110" s="12"/>
      <c r="S110" s="35"/>
    </row>
    <row r="111" spans="2:22" ht="15" customHeight="1" x14ac:dyDescent="0.25">
      <c r="B111" s="36" t="s">
        <v>18</v>
      </c>
      <c r="C111" s="37"/>
      <c r="D111" s="38"/>
      <c r="E111" s="39"/>
      <c r="F111" s="40">
        <v>12250.2</v>
      </c>
      <c r="G111" s="41">
        <f>-4025.6+18623.19</f>
        <v>14597.589999999998</v>
      </c>
      <c r="H111" s="42"/>
      <c r="I111" s="42">
        <f t="shared" si="16"/>
        <v>12250.2</v>
      </c>
      <c r="J111" s="13"/>
      <c r="K111" s="13"/>
      <c r="L111" s="43"/>
      <c r="M111" s="44"/>
      <c r="N111" s="44"/>
      <c r="O111" s="45"/>
      <c r="P111" s="46"/>
      <c r="Q111" s="47"/>
      <c r="R111" s="12"/>
      <c r="S111" s="35"/>
    </row>
    <row r="112" spans="2:22" ht="15" customHeight="1" x14ac:dyDescent="0.25">
      <c r="B112" s="36" t="s">
        <v>19</v>
      </c>
      <c r="C112" s="37"/>
      <c r="D112" s="38"/>
      <c r="E112" s="39"/>
      <c r="F112" s="40">
        <v>12250.2</v>
      </c>
      <c r="G112" s="41">
        <f>432.62+8403.28</f>
        <v>8835.9000000000015</v>
      </c>
      <c r="H112" s="42"/>
      <c r="I112" s="42">
        <f t="shared" si="16"/>
        <v>12250.2</v>
      </c>
      <c r="J112" s="13"/>
      <c r="K112" s="13"/>
      <c r="L112" s="43"/>
      <c r="M112" s="44"/>
      <c r="N112" s="44"/>
      <c r="O112" s="45"/>
      <c r="P112" s="46"/>
      <c r="Q112" s="47"/>
      <c r="R112" s="12"/>
      <c r="S112" s="35"/>
    </row>
    <row r="113" spans="1:19" x14ac:dyDescent="0.25">
      <c r="B113" s="36" t="s">
        <v>20</v>
      </c>
      <c r="C113" s="37"/>
      <c r="D113" s="38"/>
      <c r="E113" s="39"/>
      <c r="F113" s="40">
        <v>12250.2</v>
      </c>
      <c r="G113" s="41">
        <v>13693.52</v>
      </c>
      <c r="H113" s="42"/>
      <c r="I113" s="42">
        <f t="shared" si="16"/>
        <v>12250.2</v>
      </c>
      <c r="J113" s="13"/>
      <c r="K113" s="13"/>
      <c r="L113" s="43"/>
      <c r="M113" s="44"/>
      <c r="N113" s="44"/>
      <c r="O113" s="45"/>
      <c r="P113" s="46"/>
      <c r="Q113" s="47"/>
      <c r="R113" s="12"/>
      <c r="S113" s="35"/>
    </row>
    <row r="114" spans="1:19" x14ac:dyDescent="0.25">
      <c r="B114" s="36" t="s">
        <v>21</v>
      </c>
      <c r="C114" s="37"/>
      <c r="D114" s="38"/>
      <c r="E114" s="39"/>
      <c r="F114" s="40">
        <v>12250.2</v>
      </c>
      <c r="G114" s="41">
        <v>10753.86</v>
      </c>
      <c r="H114" s="42"/>
      <c r="I114" s="42">
        <f t="shared" si="16"/>
        <v>12250.2</v>
      </c>
      <c r="J114" s="13"/>
      <c r="K114" s="13"/>
      <c r="L114" s="43"/>
      <c r="M114" s="44"/>
      <c r="N114" s="44"/>
      <c r="O114" s="45"/>
      <c r="P114" s="46"/>
      <c r="Q114" s="47"/>
      <c r="R114" s="12"/>
      <c r="S114" s="35"/>
    </row>
    <row r="115" spans="1:19" x14ac:dyDescent="0.25">
      <c r="B115" s="36" t="s">
        <v>22</v>
      </c>
      <c r="C115" s="37"/>
      <c r="D115" s="38"/>
      <c r="E115" s="39"/>
      <c r="F115" s="40">
        <f t="shared" ref="F115:F120" si="17">6125.1+13720.24</f>
        <v>19845.34</v>
      </c>
      <c r="G115" s="41">
        <f>1425.03+12307.53</f>
        <v>13732.560000000001</v>
      </c>
      <c r="H115" s="42"/>
      <c r="I115" s="42">
        <f t="shared" si="16"/>
        <v>19845.34</v>
      </c>
      <c r="J115" s="48" t="s">
        <v>23</v>
      </c>
      <c r="K115" s="48"/>
      <c r="L115" s="49"/>
      <c r="M115" s="50"/>
      <c r="N115" s="50"/>
      <c r="O115" s="48"/>
      <c r="P115" s="14"/>
      <c r="Q115" s="47">
        <v>189001.68</v>
      </c>
      <c r="R115" s="12"/>
      <c r="S115" s="35"/>
    </row>
    <row r="116" spans="1:19" x14ac:dyDescent="0.25">
      <c r="A116" s="287"/>
      <c r="B116" s="36" t="s">
        <v>24</v>
      </c>
      <c r="C116" s="37"/>
      <c r="D116" s="38"/>
      <c r="E116" s="39"/>
      <c r="F116" s="40">
        <f t="shared" si="17"/>
        <v>19845.34</v>
      </c>
      <c r="G116" s="41">
        <f>6081.36+13549.29</f>
        <v>19630.650000000001</v>
      </c>
      <c r="H116" s="42"/>
      <c r="I116" s="42">
        <f t="shared" si="16"/>
        <v>19845.34</v>
      </c>
      <c r="J116" s="48" t="s">
        <v>25</v>
      </c>
      <c r="K116" s="13"/>
      <c r="L116" s="43"/>
      <c r="M116" s="44"/>
      <c r="N116" s="44"/>
      <c r="O116" s="45"/>
      <c r="P116" s="46"/>
      <c r="Q116" s="47">
        <f>2871.06+2867.18</f>
        <v>5738.24</v>
      </c>
      <c r="R116" s="12"/>
      <c r="S116" s="35"/>
    </row>
    <row r="117" spans="1:19" x14ac:dyDescent="0.25">
      <c r="A117" s="287"/>
      <c r="B117" s="36" t="s">
        <v>26</v>
      </c>
      <c r="C117" s="37"/>
      <c r="D117" s="38"/>
      <c r="E117" s="39"/>
      <c r="F117" s="40">
        <f t="shared" si="17"/>
        <v>19845.34</v>
      </c>
      <c r="G117" s="41">
        <f>5922.56+13597.05-9572.91</f>
        <v>9946.7000000000007</v>
      </c>
      <c r="H117" s="42"/>
      <c r="I117" s="42">
        <f t="shared" si="16"/>
        <v>19845.34</v>
      </c>
      <c r="J117" s="48" t="s">
        <v>27</v>
      </c>
      <c r="K117" s="13"/>
      <c r="L117" s="43"/>
      <c r="M117" s="44"/>
      <c r="N117" s="44"/>
      <c r="O117" s="45"/>
      <c r="P117" s="46"/>
      <c r="Q117" s="47">
        <v>2867.17</v>
      </c>
      <c r="R117" s="12"/>
      <c r="S117" s="35"/>
    </row>
    <row r="118" spans="1:19" x14ac:dyDescent="0.25">
      <c r="A118" s="287"/>
      <c r="B118" s="36" t="s">
        <v>28</v>
      </c>
      <c r="C118" s="37"/>
      <c r="D118" s="38"/>
      <c r="E118" s="39"/>
      <c r="F118" s="40">
        <f t="shared" si="17"/>
        <v>19845.34</v>
      </c>
      <c r="G118" s="41">
        <f>6128.27+13774.01</f>
        <v>19902.28</v>
      </c>
      <c r="H118" s="42"/>
      <c r="I118" s="42">
        <f t="shared" si="16"/>
        <v>19845.34</v>
      </c>
      <c r="J118" s="48" t="s">
        <v>29</v>
      </c>
      <c r="K118" s="13"/>
      <c r="L118" s="43"/>
      <c r="M118" s="44"/>
      <c r="N118" s="44"/>
      <c r="O118" s="45"/>
      <c r="P118" s="46"/>
      <c r="Q118" s="47">
        <f>2867.17*3</f>
        <v>8601.51</v>
      </c>
      <c r="R118" s="12"/>
      <c r="S118" s="35"/>
    </row>
    <row r="119" spans="1:19" x14ac:dyDescent="0.25">
      <c r="A119" s="287"/>
      <c r="B119" s="36" t="s">
        <v>30</v>
      </c>
      <c r="C119" s="51"/>
      <c r="D119" s="51"/>
      <c r="E119" s="52"/>
      <c r="F119" s="40">
        <f t="shared" si="17"/>
        <v>19845.34</v>
      </c>
      <c r="G119" s="41">
        <f>6205.48+13860.4</f>
        <v>20065.879999999997</v>
      </c>
      <c r="H119" s="42"/>
      <c r="I119" s="42">
        <f t="shared" si="16"/>
        <v>19845.34</v>
      </c>
      <c r="J119" s="53" t="s">
        <v>31</v>
      </c>
      <c r="K119" s="30"/>
      <c r="L119" s="30"/>
      <c r="M119" s="32"/>
      <c r="N119" s="32"/>
      <c r="O119" s="32"/>
      <c r="P119" s="33"/>
      <c r="Q119" s="25">
        <v>92499</v>
      </c>
      <c r="R119" s="34"/>
      <c r="S119" s="35"/>
    </row>
    <row r="120" spans="1:19" x14ac:dyDescent="0.25">
      <c r="A120" s="287"/>
      <c r="B120" s="36" t="s">
        <v>32</v>
      </c>
      <c r="C120" s="38"/>
      <c r="D120" s="38"/>
      <c r="E120" s="54"/>
      <c r="F120" s="55">
        <f t="shared" si="17"/>
        <v>19845.34</v>
      </c>
      <c r="G120" s="56">
        <f>6840.21+15613.31</f>
        <v>22453.52</v>
      </c>
      <c r="H120" s="57"/>
      <c r="I120" s="57">
        <f t="shared" si="16"/>
        <v>19845.34</v>
      </c>
      <c r="J120" s="58" t="s">
        <v>33</v>
      </c>
      <c r="K120" s="59"/>
      <c r="L120" s="59"/>
      <c r="M120" s="60"/>
      <c r="N120" s="60"/>
      <c r="O120" s="60"/>
      <c r="P120" s="61"/>
      <c r="Q120" s="62">
        <f>6735.56+6575.34</f>
        <v>13310.900000000001</v>
      </c>
      <c r="R120" s="63"/>
      <c r="S120" s="64"/>
    </row>
    <row r="121" spans="1:19" x14ac:dyDescent="0.25">
      <c r="A121" s="287"/>
      <c r="B121" s="65"/>
      <c r="C121" s="66"/>
      <c r="D121" s="66"/>
      <c r="E121" s="67" t="s">
        <v>34</v>
      </c>
      <c r="F121" s="67">
        <f>SUM(F109:F120)</f>
        <v>192573.24</v>
      </c>
      <c r="G121" s="68">
        <f>SUM(G109:G120)</f>
        <v>179117.61000000002</v>
      </c>
      <c r="H121" s="68">
        <f>SUM(H109:H120)</f>
        <v>0</v>
      </c>
      <c r="I121" s="69">
        <f>SUM(I109:I120)</f>
        <v>192573.24</v>
      </c>
      <c r="J121" s="70" t="s">
        <v>34</v>
      </c>
      <c r="K121" s="70"/>
      <c r="L121" s="70"/>
      <c r="M121" s="32"/>
      <c r="N121" s="32"/>
      <c r="O121" s="32"/>
      <c r="P121" s="32"/>
      <c r="Q121" s="69">
        <f>SUM(Q109:Q120)</f>
        <v>312018.5</v>
      </c>
      <c r="R121" s="71">
        <f>I121-Q121</f>
        <v>-119445.26000000001</v>
      </c>
      <c r="S121" s="72">
        <f>G121+H121-Q121</f>
        <v>-132900.88999999998</v>
      </c>
    </row>
    <row r="122" spans="1:19" x14ac:dyDescent="0.25">
      <c r="B122" s="21" t="s">
        <v>15</v>
      </c>
      <c r="C122" s="22"/>
      <c r="D122" s="23"/>
      <c r="E122" s="24" t="s">
        <v>35</v>
      </c>
      <c r="F122" s="25">
        <v>13720.24</v>
      </c>
      <c r="G122" s="26">
        <f>12673.93+2042.39</f>
        <v>14716.32</v>
      </c>
      <c r="H122" s="27"/>
      <c r="I122" s="28">
        <f t="shared" ref="I122:I133" si="18">F122+H122</f>
        <v>13720.24</v>
      </c>
      <c r="J122" s="73" t="s">
        <v>36</v>
      </c>
      <c r="K122" s="29"/>
      <c r="L122" s="30"/>
      <c r="M122" s="31"/>
      <c r="N122" s="31"/>
      <c r="O122" s="32"/>
      <c r="P122" s="33"/>
      <c r="Q122" s="33">
        <v>33111</v>
      </c>
      <c r="R122" s="34"/>
      <c r="S122" s="35"/>
    </row>
    <row r="123" spans="1:19" x14ac:dyDescent="0.25">
      <c r="B123" s="36" t="s">
        <v>17</v>
      </c>
      <c r="C123" s="37"/>
      <c r="D123" s="38"/>
      <c r="E123" s="39"/>
      <c r="F123" s="40">
        <v>13720.24</v>
      </c>
      <c r="G123" s="41">
        <f>13184.23+764.3</f>
        <v>13948.529999999999</v>
      </c>
      <c r="H123" s="42"/>
      <c r="I123" s="42">
        <f t="shared" si="18"/>
        <v>13720.24</v>
      </c>
      <c r="J123" s="48" t="s">
        <v>37</v>
      </c>
      <c r="K123" s="13"/>
      <c r="L123" s="43"/>
      <c r="M123" s="44"/>
      <c r="N123" s="44"/>
      <c r="O123" s="45"/>
      <c r="P123" s="46"/>
      <c r="Q123" s="47">
        <f>2815.07*2</f>
        <v>5630.14</v>
      </c>
      <c r="R123" s="12"/>
      <c r="S123" s="35"/>
    </row>
    <row r="124" spans="1:19" x14ac:dyDescent="0.25">
      <c r="B124" s="36" t="s">
        <v>18</v>
      </c>
      <c r="C124" s="37"/>
      <c r="D124" s="38"/>
      <c r="E124" s="39"/>
      <c r="F124" s="40">
        <v>13720.24</v>
      </c>
      <c r="G124" s="41">
        <f>13721.42+498.82</f>
        <v>14220.24</v>
      </c>
      <c r="H124" s="42"/>
      <c r="I124" s="42">
        <f t="shared" si="18"/>
        <v>13720.24</v>
      </c>
      <c r="J124" s="48" t="s">
        <v>38</v>
      </c>
      <c r="K124" s="13"/>
      <c r="L124" s="43"/>
      <c r="M124" s="44"/>
      <c r="N124" s="44"/>
      <c r="O124" s="45"/>
      <c r="P124" s="46"/>
      <c r="Q124" s="47">
        <f t="shared" ref="Q124:Q130" si="19">2815.7</f>
        <v>2815.7</v>
      </c>
      <c r="R124" s="12"/>
      <c r="S124" s="35"/>
    </row>
    <row r="125" spans="1:19" x14ac:dyDescent="0.25">
      <c r="B125" s="36" t="s">
        <v>19</v>
      </c>
      <c r="C125" s="37"/>
      <c r="D125" s="38"/>
      <c r="E125" s="39"/>
      <c r="F125" s="40">
        <v>13720.24</v>
      </c>
      <c r="G125" s="41">
        <f>235.59+15806.59</f>
        <v>16042.18</v>
      </c>
      <c r="H125" s="42"/>
      <c r="I125" s="42">
        <f t="shared" si="18"/>
        <v>13720.24</v>
      </c>
      <c r="J125" s="48" t="s">
        <v>38</v>
      </c>
      <c r="K125" s="13"/>
      <c r="L125" s="43"/>
      <c r="M125" s="44"/>
      <c r="N125" s="44"/>
      <c r="O125" s="45"/>
      <c r="P125" s="46"/>
      <c r="Q125" s="47">
        <f t="shared" si="19"/>
        <v>2815.7</v>
      </c>
      <c r="R125" s="12"/>
      <c r="S125" s="35"/>
    </row>
    <row r="126" spans="1:19" x14ac:dyDescent="0.25">
      <c r="B126" s="36" t="s">
        <v>20</v>
      </c>
      <c r="C126" s="37"/>
      <c r="D126" s="38"/>
      <c r="E126" s="39"/>
      <c r="F126" s="40">
        <v>13720.24</v>
      </c>
      <c r="G126" s="41">
        <f>121.73+12976.84</f>
        <v>13098.57</v>
      </c>
      <c r="H126" s="42"/>
      <c r="I126" s="42">
        <f t="shared" si="18"/>
        <v>13720.24</v>
      </c>
      <c r="J126" s="48" t="s">
        <v>38</v>
      </c>
      <c r="K126" s="13"/>
      <c r="L126" s="43"/>
      <c r="M126" s="44"/>
      <c r="N126" s="44"/>
      <c r="O126" s="45"/>
      <c r="P126" s="46"/>
      <c r="Q126" s="47">
        <f t="shared" si="19"/>
        <v>2815.7</v>
      </c>
      <c r="R126" s="12"/>
      <c r="S126" s="35"/>
    </row>
    <row r="127" spans="1:19" x14ac:dyDescent="0.25">
      <c r="B127" s="36" t="s">
        <v>21</v>
      </c>
      <c r="C127" s="37"/>
      <c r="D127" s="38"/>
      <c r="E127" s="39"/>
      <c r="F127" s="40">
        <v>13720.24</v>
      </c>
      <c r="G127" s="41">
        <f>41.04+11915.31</f>
        <v>11956.35</v>
      </c>
      <c r="H127" s="42"/>
      <c r="I127" s="42">
        <f t="shared" si="18"/>
        <v>13720.24</v>
      </c>
      <c r="J127" s="48" t="s">
        <v>38</v>
      </c>
      <c r="K127" s="13"/>
      <c r="L127" s="43"/>
      <c r="M127" s="44"/>
      <c r="N127" s="44"/>
      <c r="O127" s="45"/>
      <c r="P127" s="46"/>
      <c r="Q127" s="47">
        <f t="shared" si="19"/>
        <v>2815.7</v>
      </c>
      <c r="R127" s="12"/>
      <c r="S127" s="35"/>
    </row>
    <row r="128" spans="1:19" x14ac:dyDescent="0.25">
      <c r="A128" s="18"/>
      <c r="B128" s="36" t="s">
        <v>22</v>
      </c>
      <c r="C128" s="37"/>
      <c r="D128" s="38"/>
      <c r="E128" s="39"/>
      <c r="F128" s="40">
        <v>13720.24</v>
      </c>
      <c r="G128" s="41">
        <f>28.84+13177.84</f>
        <v>13206.68</v>
      </c>
      <c r="H128" s="42"/>
      <c r="I128" s="42">
        <f t="shared" si="18"/>
        <v>13720.24</v>
      </c>
      <c r="J128" s="48" t="s">
        <v>38</v>
      </c>
      <c r="K128" s="48"/>
      <c r="L128" s="49"/>
      <c r="M128" s="50"/>
      <c r="N128" s="50"/>
      <c r="O128" s="48"/>
      <c r="P128" s="14"/>
      <c r="Q128" s="47">
        <f t="shared" si="19"/>
        <v>2815.7</v>
      </c>
      <c r="R128" s="12"/>
      <c r="S128" s="35"/>
    </row>
    <row r="129" spans="1:19" x14ac:dyDescent="0.25">
      <c r="A129" s="18"/>
      <c r="B129" s="36" t="s">
        <v>24</v>
      </c>
      <c r="C129" s="37"/>
      <c r="D129" s="38"/>
      <c r="E129" s="39"/>
      <c r="F129" s="40">
        <v>13720.24</v>
      </c>
      <c r="G129" s="41">
        <f>21.28+14373.91</f>
        <v>14395.19</v>
      </c>
      <c r="H129" s="42"/>
      <c r="I129" s="42">
        <f t="shared" si="18"/>
        <v>13720.24</v>
      </c>
      <c r="J129" s="48" t="s">
        <v>38</v>
      </c>
      <c r="K129" s="13"/>
      <c r="L129" s="43"/>
      <c r="M129" s="44"/>
      <c r="N129" s="44"/>
      <c r="O129" s="45"/>
      <c r="P129" s="46"/>
      <c r="Q129" s="47">
        <f t="shared" si="19"/>
        <v>2815.7</v>
      </c>
      <c r="R129" s="12"/>
      <c r="S129" s="35"/>
    </row>
    <row r="130" spans="1:19" x14ac:dyDescent="0.25">
      <c r="A130" s="18"/>
      <c r="B130" s="36" t="s">
        <v>26</v>
      </c>
      <c r="C130" s="37"/>
      <c r="D130" s="38"/>
      <c r="E130" s="39"/>
      <c r="F130" s="40">
        <v>13720.24</v>
      </c>
      <c r="G130" s="41">
        <f>13.47+12657.75</f>
        <v>12671.22</v>
      </c>
      <c r="H130" s="42"/>
      <c r="I130" s="42">
        <f t="shared" si="18"/>
        <v>13720.24</v>
      </c>
      <c r="J130" s="48" t="s">
        <v>38</v>
      </c>
      <c r="K130" s="13"/>
      <c r="L130" s="43"/>
      <c r="M130" s="44"/>
      <c r="N130" s="44"/>
      <c r="O130" s="45"/>
      <c r="P130" s="46"/>
      <c r="Q130" s="47">
        <f t="shared" si="19"/>
        <v>2815.7</v>
      </c>
      <c r="R130" s="12"/>
      <c r="S130" s="35"/>
    </row>
    <row r="131" spans="1:19" x14ac:dyDescent="0.25">
      <c r="A131" s="18"/>
      <c r="B131" s="36" t="s">
        <v>28</v>
      </c>
      <c r="C131" s="37"/>
      <c r="D131" s="38"/>
      <c r="E131" s="39"/>
      <c r="F131" s="40">
        <v>13720.24</v>
      </c>
      <c r="G131" s="41">
        <f>8.31+13204.83</f>
        <v>13213.14</v>
      </c>
      <c r="H131" s="42"/>
      <c r="I131" s="42">
        <f t="shared" si="18"/>
        <v>13720.24</v>
      </c>
      <c r="J131" s="48" t="s">
        <v>38</v>
      </c>
      <c r="K131" s="13"/>
      <c r="L131" s="43"/>
      <c r="M131" s="44"/>
      <c r="N131" s="44"/>
      <c r="O131" s="45"/>
      <c r="P131" s="46"/>
      <c r="Q131" s="47">
        <v>2947.36</v>
      </c>
      <c r="R131" s="12"/>
      <c r="S131" s="35"/>
    </row>
    <row r="132" spans="1:19" x14ac:dyDescent="0.25">
      <c r="A132" s="18"/>
      <c r="B132" s="36" t="s">
        <v>30</v>
      </c>
      <c r="C132" s="51"/>
      <c r="D132" s="51"/>
      <c r="E132" s="52"/>
      <c r="F132" s="40">
        <v>13720.24</v>
      </c>
      <c r="G132" s="41">
        <f>42.06+15109.5</f>
        <v>15151.56</v>
      </c>
      <c r="H132" s="42"/>
      <c r="I132" s="42">
        <f t="shared" si="18"/>
        <v>13720.24</v>
      </c>
      <c r="J132" s="48" t="s">
        <v>38</v>
      </c>
      <c r="K132" s="30"/>
      <c r="L132" s="30"/>
      <c r="M132" s="32"/>
      <c r="N132" s="32"/>
      <c r="O132" s="32"/>
      <c r="P132" s="33"/>
      <c r="Q132" s="47">
        <v>2947.36</v>
      </c>
      <c r="R132" s="34"/>
      <c r="S132" s="35"/>
    </row>
    <row r="133" spans="1:19" x14ac:dyDescent="0.25">
      <c r="A133" s="18"/>
      <c r="B133" s="36" t="s">
        <v>32</v>
      </c>
      <c r="C133" s="38"/>
      <c r="D133" s="38"/>
      <c r="E133" s="54"/>
      <c r="F133" s="55">
        <v>15312.75</v>
      </c>
      <c r="G133" s="56">
        <f>15281.68+4.51</f>
        <v>15286.19</v>
      </c>
      <c r="H133" s="57"/>
      <c r="I133" s="57">
        <f t="shared" si="18"/>
        <v>15312.75</v>
      </c>
      <c r="J133" s="74" t="s">
        <v>38</v>
      </c>
      <c r="K133" s="59"/>
      <c r="L133" s="59"/>
      <c r="M133" s="60"/>
      <c r="N133" s="60"/>
      <c r="O133" s="60"/>
      <c r="P133" s="61"/>
      <c r="Q133" s="62">
        <v>3043.75</v>
      </c>
      <c r="R133" s="63"/>
      <c r="S133" s="64"/>
    </row>
    <row r="134" spans="1:19" x14ac:dyDescent="0.25">
      <c r="A134" s="18"/>
      <c r="B134" s="65"/>
      <c r="C134" s="66"/>
      <c r="D134" s="66"/>
      <c r="E134" s="67" t="s">
        <v>34</v>
      </c>
      <c r="F134" s="67">
        <f>SUM(F122:F133)</f>
        <v>166235.39000000001</v>
      </c>
      <c r="G134" s="68">
        <f>SUM(G122:G133)</f>
        <v>167906.16999999998</v>
      </c>
      <c r="H134" s="68">
        <f>SUM(H122:H133)</f>
        <v>0</v>
      </c>
      <c r="I134" s="69">
        <f>SUM(I122:I133)</f>
        <v>166235.39000000001</v>
      </c>
      <c r="J134" s="70" t="s">
        <v>34</v>
      </c>
      <c r="K134" s="70"/>
      <c r="L134" s="70"/>
      <c r="M134" s="32"/>
      <c r="N134" s="32"/>
      <c r="O134" s="32"/>
      <c r="P134" s="32"/>
      <c r="Q134" s="69">
        <f>SUM(Q122:Q133)</f>
        <v>67389.50999999998</v>
      </c>
      <c r="R134" s="71">
        <f>I134-Q134</f>
        <v>98845.880000000034</v>
      </c>
      <c r="S134" s="72">
        <f>G134+H134-Q134</f>
        <v>100516.66</v>
      </c>
    </row>
    <row r="135" spans="1:19" x14ac:dyDescent="0.25">
      <c r="A135" s="18"/>
      <c r="B135" s="36" t="s">
        <v>15</v>
      </c>
      <c r="C135" s="37"/>
      <c r="D135" s="38"/>
      <c r="E135" s="75" t="s">
        <v>39</v>
      </c>
      <c r="F135" s="47">
        <v>15312.75</v>
      </c>
      <c r="G135" s="41">
        <f>1.93+13970.97</f>
        <v>13972.9</v>
      </c>
      <c r="H135" s="76"/>
      <c r="I135" s="42">
        <f t="shared" ref="I135:I146" si="20">F135+H135</f>
        <v>15312.75</v>
      </c>
      <c r="J135" s="48" t="s">
        <v>38</v>
      </c>
      <c r="K135" s="43"/>
      <c r="L135" s="43"/>
      <c r="M135" s="45"/>
      <c r="N135" s="45"/>
      <c r="O135" s="45"/>
      <c r="P135" s="46"/>
      <c r="Q135" s="47">
        <v>3043.75</v>
      </c>
      <c r="R135" s="12"/>
      <c r="S135" s="77"/>
    </row>
    <row r="136" spans="1:19" x14ac:dyDescent="0.25">
      <c r="A136" s="18"/>
      <c r="B136" s="36" t="s">
        <v>17</v>
      </c>
      <c r="C136" s="37"/>
      <c r="D136" s="38"/>
      <c r="E136" s="39"/>
      <c r="F136" s="40">
        <v>15312.75</v>
      </c>
      <c r="G136" s="41">
        <f>6.54+15201.97</f>
        <v>15208.51</v>
      </c>
      <c r="H136" s="42"/>
      <c r="I136" s="42">
        <f t="shared" si="20"/>
        <v>15312.75</v>
      </c>
      <c r="J136" s="48" t="s">
        <v>38</v>
      </c>
      <c r="K136" s="13"/>
      <c r="L136" s="43"/>
      <c r="M136" s="44"/>
      <c r="N136" s="44"/>
      <c r="O136" s="45"/>
      <c r="P136" s="46"/>
      <c r="Q136" s="47">
        <v>3042.62</v>
      </c>
      <c r="R136" s="12"/>
      <c r="S136" s="35"/>
    </row>
    <row r="137" spans="1:19" x14ac:dyDescent="0.25">
      <c r="A137" s="18"/>
      <c r="B137" s="36" t="s">
        <v>18</v>
      </c>
      <c r="C137" s="37"/>
      <c r="D137" s="38"/>
      <c r="E137" s="39"/>
      <c r="F137" s="40">
        <v>15475.75</v>
      </c>
      <c r="G137" s="41">
        <f>2.62+15377.68</f>
        <v>15380.300000000001</v>
      </c>
      <c r="H137" s="42"/>
      <c r="I137" s="42">
        <f t="shared" si="20"/>
        <v>15475.75</v>
      </c>
      <c r="J137" s="48" t="s">
        <v>38</v>
      </c>
      <c r="K137" s="13"/>
      <c r="L137" s="43"/>
      <c r="M137" s="44"/>
      <c r="N137" s="44"/>
      <c r="O137" s="45"/>
      <c r="P137" s="46"/>
      <c r="Q137" s="47">
        <v>3028.31</v>
      </c>
      <c r="R137" s="12"/>
      <c r="S137" s="35"/>
    </row>
    <row r="138" spans="1:19" x14ac:dyDescent="0.25">
      <c r="A138" s="18"/>
      <c r="B138" s="36" t="s">
        <v>19</v>
      </c>
      <c r="C138" s="37"/>
      <c r="D138" s="38"/>
      <c r="E138" s="39"/>
      <c r="F138" s="40">
        <v>15475.75</v>
      </c>
      <c r="G138" s="41">
        <f>146.08+14692.3</f>
        <v>14838.38</v>
      </c>
      <c r="H138" s="42"/>
      <c r="I138" s="42">
        <f t="shared" si="20"/>
        <v>15475.75</v>
      </c>
      <c r="J138" s="48" t="s">
        <v>38</v>
      </c>
      <c r="K138" s="13"/>
      <c r="L138" s="43"/>
      <c r="M138" s="44"/>
      <c r="N138" s="44"/>
      <c r="O138" s="45"/>
      <c r="P138" s="46"/>
      <c r="Q138" s="47">
        <v>3066.65</v>
      </c>
      <c r="R138" s="12"/>
      <c r="S138" s="35"/>
    </row>
    <row r="139" spans="1:19" x14ac:dyDescent="0.25">
      <c r="A139" s="18"/>
      <c r="B139" s="36" t="s">
        <v>20</v>
      </c>
      <c r="C139" s="37"/>
      <c r="D139" s="38"/>
      <c r="E139" s="39"/>
      <c r="F139" s="40">
        <v>15475.75</v>
      </c>
      <c r="G139" s="41">
        <f>0.35+15681.13</f>
        <v>15681.48</v>
      </c>
      <c r="H139" s="42"/>
      <c r="I139" s="42">
        <f t="shared" si="20"/>
        <v>15475.75</v>
      </c>
      <c r="J139" s="48" t="s">
        <v>38</v>
      </c>
      <c r="K139" s="13"/>
      <c r="L139" s="43"/>
      <c r="M139" s="44"/>
      <c r="N139" s="44"/>
      <c r="O139" s="45"/>
      <c r="P139" s="46"/>
      <c r="Q139" s="47">
        <v>3042.62</v>
      </c>
      <c r="R139" s="12"/>
      <c r="S139" s="35"/>
    </row>
    <row r="140" spans="1:19" x14ac:dyDescent="0.25">
      <c r="A140" s="18"/>
      <c r="B140" s="36" t="s">
        <v>21</v>
      </c>
      <c r="C140" s="37"/>
      <c r="D140" s="38"/>
      <c r="E140" s="39"/>
      <c r="F140" s="40">
        <v>15475.75</v>
      </c>
      <c r="G140" s="41">
        <f>-210.23+15430.45</f>
        <v>15220.220000000001</v>
      </c>
      <c r="H140" s="42"/>
      <c r="I140" s="42">
        <f t="shared" si="20"/>
        <v>15475.75</v>
      </c>
      <c r="J140" s="48" t="s">
        <v>38</v>
      </c>
      <c r="K140" s="13"/>
      <c r="L140" s="43"/>
      <c r="M140" s="44"/>
      <c r="N140" s="44"/>
      <c r="O140" s="45"/>
      <c r="P140" s="46"/>
      <c r="Q140" s="47">
        <v>3070.55</v>
      </c>
      <c r="R140" s="12"/>
      <c r="S140" s="35"/>
    </row>
    <row r="141" spans="1:19" x14ac:dyDescent="0.25">
      <c r="A141" s="18"/>
      <c r="B141" s="36" t="s">
        <v>22</v>
      </c>
      <c r="C141" s="37"/>
      <c r="D141" s="38"/>
      <c r="E141" s="39"/>
      <c r="F141" s="40">
        <v>15481.25</v>
      </c>
      <c r="G141" s="41">
        <f>375.39+15502.64</f>
        <v>15878.029999999999</v>
      </c>
      <c r="H141" s="42"/>
      <c r="I141" s="42">
        <f t="shared" si="20"/>
        <v>15481.25</v>
      </c>
      <c r="J141" s="48" t="s">
        <v>38</v>
      </c>
      <c r="K141" s="13"/>
      <c r="L141" s="43"/>
      <c r="M141" s="44"/>
      <c r="N141" s="44"/>
      <c r="O141" s="45"/>
      <c r="P141" s="46"/>
      <c r="Q141" s="47">
        <v>3236.31</v>
      </c>
      <c r="R141" s="12"/>
      <c r="S141" s="35"/>
    </row>
    <row r="142" spans="1:19" x14ac:dyDescent="0.25">
      <c r="A142" s="18"/>
      <c r="B142" s="36" t="s">
        <v>24</v>
      </c>
      <c r="C142" s="37"/>
      <c r="D142" s="38"/>
      <c r="E142" s="39"/>
      <c r="F142" s="40">
        <v>15481.25</v>
      </c>
      <c r="G142" s="41">
        <v>15625.12</v>
      </c>
      <c r="H142" s="42"/>
      <c r="I142" s="42">
        <f t="shared" si="20"/>
        <v>15481.25</v>
      </c>
      <c r="J142" s="48" t="s">
        <v>38</v>
      </c>
      <c r="K142" s="13"/>
      <c r="L142" s="43"/>
      <c r="M142" s="44"/>
      <c r="N142" s="44"/>
      <c r="O142" s="45"/>
      <c r="P142" s="46"/>
      <c r="Q142" s="47">
        <v>3015.7</v>
      </c>
      <c r="R142" s="12"/>
      <c r="S142" s="35"/>
    </row>
    <row r="143" spans="1:19" x14ac:dyDescent="0.25">
      <c r="A143" s="18"/>
      <c r="B143" s="36" t="s">
        <v>26</v>
      </c>
      <c r="C143" s="37"/>
      <c r="D143" s="38"/>
      <c r="E143" s="39"/>
      <c r="F143" s="40">
        <v>15481.25</v>
      </c>
      <c r="G143" s="41">
        <v>14687.62</v>
      </c>
      <c r="H143" s="42"/>
      <c r="I143" s="42">
        <f t="shared" si="20"/>
        <v>15481.25</v>
      </c>
      <c r="J143" s="48" t="s">
        <v>38</v>
      </c>
      <c r="K143" s="13"/>
      <c r="L143" s="43"/>
      <c r="M143" s="44"/>
      <c r="N143" s="44"/>
      <c r="O143" s="45"/>
      <c r="P143" s="46"/>
      <c r="Q143" s="47">
        <v>2876</v>
      </c>
      <c r="R143" s="12"/>
      <c r="S143" s="35"/>
    </row>
    <row r="144" spans="1:19" x14ac:dyDescent="0.25">
      <c r="A144" s="18"/>
      <c r="B144" s="36" t="s">
        <v>28</v>
      </c>
      <c r="C144" s="37"/>
      <c r="D144" s="38"/>
      <c r="E144" s="39"/>
      <c r="F144" s="40">
        <f>0+15481.25</f>
        <v>15481.25</v>
      </c>
      <c r="G144" s="41">
        <f>0.8+15703.61</f>
        <v>15704.41</v>
      </c>
      <c r="H144" s="42"/>
      <c r="I144" s="42">
        <f t="shared" si="20"/>
        <v>15481.25</v>
      </c>
      <c r="J144" s="48" t="s">
        <v>38</v>
      </c>
      <c r="K144" s="13"/>
      <c r="L144" s="43"/>
      <c r="M144" s="44"/>
      <c r="N144" s="44"/>
      <c r="O144" s="45"/>
      <c r="P144" s="46"/>
      <c r="Q144" s="47">
        <v>3250.51</v>
      </c>
      <c r="R144" s="12"/>
      <c r="S144" s="35"/>
    </row>
    <row r="145" spans="1:19" x14ac:dyDescent="0.25">
      <c r="A145" s="18"/>
      <c r="B145" s="36" t="s">
        <v>30</v>
      </c>
      <c r="C145" s="51"/>
      <c r="D145" s="51"/>
      <c r="E145" s="52"/>
      <c r="F145" s="40">
        <v>15481.25</v>
      </c>
      <c r="G145" s="41">
        <f>0.79+15884.25</f>
        <v>15885.04</v>
      </c>
      <c r="H145" s="42"/>
      <c r="I145" s="42">
        <f t="shared" si="20"/>
        <v>15481.25</v>
      </c>
      <c r="J145" s="48" t="s">
        <v>38</v>
      </c>
      <c r="K145" s="13"/>
      <c r="L145" s="43"/>
      <c r="M145" s="44"/>
      <c r="N145" s="44"/>
      <c r="O145" s="45"/>
      <c r="P145" s="46"/>
      <c r="Q145" s="47">
        <v>3245.98</v>
      </c>
      <c r="R145" s="34"/>
      <c r="S145" s="35"/>
    </row>
    <row r="146" spans="1:19" x14ac:dyDescent="0.25">
      <c r="A146" s="18"/>
      <c r="B146" s="36" t="s">
        <v>32</v>
      </c>
      <c r="C146" s="38"/>
      <c r="D146" s="38"/>
      <c r="E146" s="54"/>
      <c r="F146" s="40">
        <v>0</v>
      </c>
      <c r="G146" s="41">
        <f>18325.67+0.7</f>
        <v>18326.37</v>
      </c>
      <c r="H146" s="42"/>
      <c r="I146" s="42">
        <f t="shared" si="20"/>
        <v>0</v>
      </c>
      <c r="J146" s="48" t="s">
        <v>38</v>
      </c>
      <c r="K146" s="13"/>
      <c r="L146" s="43"/>
      <c r="M146" s="44"/>
      <c r="N146" s="44"/>
      <c r="O146" s="45"/>
      <c r="P146" s="46"/>
      <c r="Q146" s="47">
        <v>3119.79</v>
      </c>
      <c r="R146" s="34"/>
      <c r="S146" s="35"/>
    </row>
    <row r="147" spans="1:19" x14ac:dyDescent="0.25">
      <c r="A147" s="18"/>
      <c r="B147" s="78"/>
      <c r="C147" s="79"/>
      <c r="D147" s="79"/>
      <c r="E147" s="80" t="s">
        <v>34</v>
      </c>
      <c r="F147" s="67">
        <f>SUM(F135:F146)</f>
        <v>169934.75</v>
      </c>
      <c r="G147" s="68">
        <f>SUM(G135:G146)</f>
        <v>186408.38</v>
      </c>
      <c r="H147" s="68">
        <f>SUM(H135:H146)</f>
        <v>0</v>
      </c>
      <c r="I147" s="69">
        <f>SUM(I135:I146)</f>
        <v>169934.75</v>
      </c>
      <c r="J147" s="81" t="s">
        <v>34</v>
      </c>
      <c r="K147" s="81"/>
      <c r="L147" s="81"/>
      <c r="M147" s="18"/>
      <c r="N147" s="18"/>
      <c r="O147" s="18"/>
      <c r="P147" s="18"/>
      <c r="Q147" s="82">
        <f>SUM(Q135:Q146)</f>
        <v>37038.790000000008</v>
      </c>
      <c r="R147" s="83">
        <f>I147-Q147</f>
        <v>132895.96</v>
      </c>
      <c r="S147" s="72">
        <f>G147+H147-Q147</f>
        <v>149369.59</v>
      </c>
    </row>
    <row r="148" spans="1:19" x14ac:dyDescent="0.25">
      <c r="A148" s="18"/>
      <c r="B148" s="84" t="s">
        <v>40</v>
      </c>
      <c r="C148" s="32"/>
      <c r="D148" s="32"/>
      <c r="E148" s="32"/>
      <c r="F148" s="85">
        <f>F147+F134+F121</f>
        <v>528743.38</v>
      </c>
      <c r="G148" s="85">
        <f>G147+G134+G121</f>
        <v>533432.16</v>
      </c>
      <c r="H148" s="85">
        <f>H147+H134+H121</f>
        <v>0</v>
      </c>
      <c r="I148" s="85">
        <f>I147+I134+I121</f>
        <v>528743.38</v>
      </c>
      <c r="J148" s="32"/>
      <c r="K148" s="32"/>
      <c r="L148" s="32"/>
      <c r="M148" s="32"/>
      <c r="N148" s="32"/>
      <c r="O148" s="32"/>
      <c r="P148" s="32"/>
      <c r="Q148" s="86">
        <f>Q147+Q134+Q121</f>
        <v>416446.8</v>
      </c>
      <c r="R148" s="86">
        <f>R147+R134+R121</f>
        <v>112296.58000000002</v>
      </c>
      <c r="S148" s="86">
        <f>S147+S134+S121</f>
        <v>116985.36000000002</v>
      </c>
    </row>
    <row r="149" spans="1:19" x14ac:dyDescent="0.25">
      <c r="A149" s="18"/>
    </row>
    <row r="150" spans="1:19" x14ac:dyDescent="0.25">
      <c r="A150" s="18"/>
    </row>
    <row r="151" spans="1:19" x14ac:dyDescent="0.25">
      <c r="A151" s="18"/>
    </row>
    <row r="152" spans="1:19" x14ac:dyDescent="0.25">
      <c r="A152" s="18"/>
    </row>
    <row r="153" spans="1:19" x14ac:dyDescent="0.25">
      <c r="A153" s="18"/>
    </row>
    <row r="154" spans="1:19" x14ac:dyDescent="0.25">
      <c r="A154" s="18"/>
      <c r="B154" s="286" t="s">
        <v>156</v>
      </c>
      <c r="C154" s="286"/>
      <c r="D154" s="286"/>
      <c r="E154" s="286"/>
      <c r="F154" s="286"/>
      <c r="G154" s="286"/>
      <c r="H154" s="286"/>
      <c r="I154" s="286"/>
      <c r="J154" s="286"/>
      <c r="K154" s="286" t="s">
        <v>158</v>
      </c>
      <c r="L154" s="286"/>
    </row>
    <row r="155" spans="1:19" x14ac:dyDescent="0.25">
      <c r="A155" s="18"/>
      <c r="B155" s="286"/>
      <c r="C155" s="286"/>
      <c r="D155" s="286"/>
      <c r="E155" s="286"/>
      <c r="F155" s="286"/>
      <c r="G155" s="286"/>
      <c r="H155" s="286"/>
      <c r="I155" s="286"/>
      <c r="J155" s="286"/>
      <c r="K155" s="286"/>
      <c r="L155" s="286"/>
    </row>
    <row r="156" spans="1:19" x14ac:dyDescent="0.25">
      <c r="A156" s="18"/>
      <c r="B156" s="286"/>
      <c r="C156" s="286"/>
      <c r="D156" s="286"/>
      <c r="E156" s="286"/>
      <c r="F156" s="286"/>
      <c r="G156" s="286"/>
      <c r="H156" s="286"/>
      <c r="I156" s="286"/>
      <c r="J156" s="286"/>
      <c r="K156" s="286"/>
      <c r="L156" s="286"/>
    </row>
    <row r="157" spans="1:19" x14ac:dyDescent="0.25">
      <c r="A157" s="18"/>
      <c r="B157" s="288" t="s">
        <v>15</v>
      </c>
      <c r="C157" s="289"/>
      <c r="D157" s="289"/>
      <c r="E157" s="289"/>
      <c r="F157" s="290"/>
      <c r="G157" s="28"/>
      <c r="H157" s="51"/>
      <c r="I157" s="51"/>
      <c r="J157" s="51"/>
      <c r="K157" s="51"/>
      <c r="L157" s="96"/>
      <c r="M157" s="96"/>
      <c r="N157" s="96"/>
      <c r="O157" s="96"/>
    </row>
    <row r="158" spans="1:19" x14ac:dyDescent="0.25">
      <c r="A158" s="18"/>
      <c r="B158" s="291" t="s">
        <v>160</v>
      </c>
      <c r="C158" s="32"/>
      <c r="D158" s="32"/>
      <c r="E158" s="32"/>
      <c r="F158" s="33"/>
      <c r="G158" s="28"/>
      <c r="H158" s="51"/>
      <c r="I158" s="51"/>
      <c r="J158" s="51"/>
      <c r="K158" s="51"/>
      <c r="L158" s="96"/>
      <c r="M158" s="96"/>
      <c r="N158" s="96"/>
      <c r="O158" s="96"/>
    </row>
    <row r="159" spans="1:19" x14ac:dyDescent="0.25">
      <c r="A159" s="18"/>
      <c r="B159" s="178" t="s">
        <v>161</v>
      </c>
      <c r="C159" s="45"/>
      <c r="D159" s="45"/>
      <c r="E159" s="45"/>
      <c r="F159" s="46"/>
      <c r="G159" s="28">
        <f>1362.11+1597.5</f>
        <v>2959.6099999999997</v>
      </c>
      <c r="H159" s="51"/>
      <c r="I159" s="51"/>
      <c r="J159" s="51"/>
      <c r="K159" s="51"/>
      <c r="L159" s="96"/>
      <c r="M159" s="96"/>
      <c r="N159" s="96"/>
      <c r="O159" s="96"/>
    </row>
    <row r="160" spans="1:19" x14ac:dyDescent="0.25">
      <c r="A160" s="18"/>
      <c r="B160" s="178" t="s">
        <v>162</v>
      </c>
      <c r="C160" s="45"/>
      <c r="D160" s="45"/>
      <c r="E160" s="45"/>
      <c r="F160" s="46"/>
      <c r="G160" s="25"/>
      <c r="H160" s="191"/>
      <c r="I160" s="154"/>
      <c r="J160" s="154"/>
      <c r="K160" s="51"/>
      <c r="L160" s="96"/>
      <c r="M160" s="96"/>
      <c r="N160" s="96"/>
      <c r="O160" s="96"/>
    </row>
    <row r="161" spans="1:15" x14ac:dyDescent="0.25">
      <c r="A161" s="18"/>
      <c r="B161" s="178" t="s">
        <v>163</v>
      </c>
      <c r="C161" s="45"/>
      <c r="D161" s="45"/>
      <c r="E161" s="45"/>
      <c r="F161" s="46"/>
      <c r="G161" s="25">
        <f>3454.41+89.4+261+3510.37+76.7+261</f>
        <v>7652.88</v>
      </c>
      <c r="H161" s="51"/>
      <c r="I161" s="51"/>
      <c r="J161" s="51"/>
      <c r="K161" s="51"/>
      <c r="L161" s="96"/>
      <c r="M161" s="96"/>
      <c r="N161" s="96"/>
      <c r="O161" s="96"/>
    </row>
    <row r="162" spans="1:15" x14ac:dyDescent="0.25">
      <c r="A162" s="18"/>
      <c r="B162" s="292" t="s">
        <v>164</v>
      </c>
      <c r="C162" s="292"/>
      <c r="D162" s="292"/>
      <c r="E162" s="292"/>
      <c r="F162" s="292"/>
      <c r="G162" s="26">
        <v>1473.64</v>
      </c>
      <c r="H162" s="51"/>
      <c r="I162" s="51"/>
      <c r="J162" s="51"/>
      <c r="K162" s="51"/>
      <c r="L162" s="96"/>
      <c r="M162" s="117"/>
      <c r="N162" s="96"/>
      <c r="O162" s="96"/>
    </row>
    <row r="163" spans="1:15" x14ac:dyDescent="0.25">
      <c r="A163" s="18"/>
      <c r="B163" s="293" t="s">
        <v>165</v>
      </c>
      <c r="C163" s="293"/>
      <c r="D163" s="293"/>
      <c r="E163" s="293"/>
      <c r="F163" s="293"/>
      <c r="G163" s="294"/>
      <c r="H163" s="51"/>
      <c r="I163" s="51"/>
      <c r="J163" s="51"/>
      <c r="K163" s="51"/>
      <c r="L163" s="96"/>
      <c r="M163" s="117"/>
      <c r="N163" s="96"/>
      <c r="O163" s="96"/>
    </row>
    <row r="164" spans="1:15" x14ac:dyDescent="0.25">
      <c r="A164" s="18"/>
      <c r="B164" s="295"/>
      <c r="C164" s="296"/>
      <c r="D164" s="296"/>
      <c r="E164" s="296"/>
      <c r="F164" s="297"/>
      <c r="G164" s="294">
        <v>42621.71</v>
      </c>
      <c r="H164" s="51"/>
      <c r="I164" s="51"/>
      <c r="J164" s="51"/>
      <c r="K164" s="51"/>
      <c r="L164" s="96"/>
      <c r="M164" s="117"/>
      <c r="N164" s="96"/>
      <c r="O164" s="96"/>
    </row>
    <row r="165" spans="1:15" x14ac:dyDescent="0.25">
      <c r="A165" s="18"/>
      <c r="B165" s="295"/>
      <c r="C165" s="296"/>
      <c r="D165" s="296"/>
      <c r="E165" s="296"/>
      <c r="F165" s="297"/>
      <c r="G165" s="294"/>
      <c r="H165" s="51"/>
      <c r="I165" s="51"/>
      <c r="J165" s="51"/>
      <c r="K165" s="51"/>
      <c r="L165" s="96"/>
      <c r="M165" s="117"/>
      <c r="N165" s="96"/>
      <c r="O165" s="96"/>
    </row>
    <row r="166" spans="1:15" x14ac:dyDescent="0.25">
      <c r="A166" s="18"/>
      <c r="B166" s="281"/>
      <c r="C166" s="32"/>
      <c r="D166" s="32"/>
      <c r="E166" s="32"/>
      <c r="F166" s="298" t="s">
        <v>115</v>
      </c>
      <c r="G166" s="67">
        <f>SUM(G157:G165)</f>
        <v>54707.839999999997</v>
      </c>
      <c r="H166" s="51"/>
      <c r="I166" s="51"/>
      <c r="J166" s="51"/>
      <c r="K166" s="51"/>
      <c r="L166" s="96"/>
      <c r="M166" s="96"/>
      <c r="N166" s="96"/>
      <c r="O166" s="96"/>
    </row>
    <row r="167" spans="1:15" x14ac:dyDescent="0.25">
      <c r="A167" s="18"/>
      <c r="B167" s="299" t="s">
        <v>17</v>
      </c>
      <c r="C167" s="300"/>
      <c r="D167" s="300"/>
      <c r="E167" s="300"/>
      <c r="F167" s="301"/>
      <c r="G167" s="42"/>
      <c r="H167" s="51"/>
      <c r="I167" s="51"/>
      <c r="J167" s="51"/>
      <c r="K167" s="51"/>
      <c r="L167" s="96"/>
      <c r="M167" s="96"/>
      <c r="N167" s="96"/>
      <c r="O167" s="96"/>
    </row>
    <row r="168" spans="1:15" x14ac:dyDescent="0.25">
      <c r="A168" s="18"/>
      <c r="B168" s="110" t="s">
        <v>166</v>
      </c>
      <c r="C168" s="32"/>
      <c r="D168" s="32"/>
      <c r="E168" s="32"/>
      <c r="F168" s="33"/>
      <c r="G168" s="28">
        <v>743.8</v>
      </c>
      <c r="H168" s="51"/>
      <c r="I168" s="51"/>
      <c r="J168" s="51"/>
      <c r="K168" s="51"/>
      <c r="L168" s="96"/>
      <c r="M168" s="96"/>
      <c r="N168" s="96"/>
      <c r="O168" s="96"/>
    </row>
    <row r="169" spans="1:15" x14ac:dyDescent="0.25">
      <c r="A169" s="18"/>
      <c r="B169" s="178" t="s">
        <v>167</v>
      </c>
      <c r="C169" s="45"/>
      <c r="D169" s="45"/>
      <c r="E169" s="45"/>
      <c r="F169" s="46"/>
      <c r="G169" s="28">
        <f>799.1+1281.34+1058.76+261</f>
        <v>3400.2</v>
      </c>
      <c r="H169" s="51"/>
      <c r="I169" s="51"/>
      <c r="J169" s="51"/>
      <c r="K169" s="51"/>
      <c r="L169" s="96"/>
      <c r="M169" s="96"/>
      <c r="N169" s="96"/>
      <c r="O169" s="96"/>
    </row>
    <row r="170" spans="1:15" x14ac:dyDescent="0.25">
      <c r="A170" s="18"/>
      <c r="B170" s="178" t="s">
        <v>168</v>
      </c>
      <c r="C170" s="45"/>
      <c r="D170" s="45"/>
      <c r="E170" s="45"/>
      <c r="F170" s="46"/>
      <c r="G170" s="28">
        <v>228.54</v>
      </c>
      <c r="H170" s="51"/>
      <c r="I170" s="51"/>
      <c r="J170" s="51"/>
      <c r="K170" s="51"/>
      <c r="L170" s="96"/>
      <c r="M170" s="96"/>
      <c r="N170" s="96"/>
      <c r="O170" s="96"/>
    </row>
    <row r="171" spans="1:15" x14ac:dyDescent="0.25">
      <c r="A171" s="18"/>
      <c r="B171" s="178" t="s">
        <v>169</v>
      </c>
      <c r="C171" s="45"/>
      <c r="D171" s="45"/>
      <c r="E171" s="45"/>
      <c r="F171" s="46"/>
      <c r="G171" s="25">
        <f>54.84+82.26+82.26+54.84</f>
        <v>274.20000000000005</v>
      </c>
      <c r="H171" s="191"/>
      <c r="I171" s="154"/>
      <c r="J171" s="154"/>
      <c r="K171" s="51"/>
      <c r="L171" s="96"/>
      <c r="M171" s="96"/>
      <c r="N171" s="96"/>
      <c r="O171" s="96"/>
    </row>
    <row r="172" spans="1:15" x14ac:dyDescent="0.25">
      <c r="A172" s="18"/>
      <c r="B172" s="178" t="s">
        <v>170</v>
      </c>
      <c r="C172" s="45"/>
      <c r="D172" s="45"/>
      <c r="E172" s="45"/>
      <c r="F172" s="46"/>
      <c r="G172" s="28">
        <f>275.85+1160.05</f>
        <v>1435.9</v>
      </c>
      <c r="H172" s="51"/>
      <c r="I172" s="51"/>
      <c r="J172" s="51"/>
      <c r="K172" s="51"/>
      <c r="L172" s="96"/>
      <c r="M172" s="96"/>
      <c r="N172" s="96"/>
      <c r="O172" s="96"/>
    </row>
    <row r="173" spans="1:15" x14ac:dyDescent="0.25">
      <c r="A173" s="18"/>
      <c r="B173" s="34"/>
      <c r="C173" s="32"/>
      <c r="D173" s="32"/>
      <c r="E173" s="32"/>
      <c r="F173" s="298" t="s">
        <v>115</v>
      </c>
      <c r="G173" s="67">
        <f>SUM(G167:G172)</f>
        <v>6082.6399999999994</v>
      </c>
      <c r="H173" s="51"/>
      <c r="I173" s="51"/>
      <c r="J173" s="51"/>
      <c r="K173" s="51"/>
      <c r="L173" s="96"/>
      <c r="M173" s="96"/>
      <c r="N173" s="96"/>
      <c r="O173" s="96"/>
    </row>
    <row r="174" spans="1:15" x14ac:dyDescent="0.25">
      <c r="A174" s="18"/>
      <c r="B174" s="288" t="s">
        <v>18</v>
      </c>
      <c r="C174" s="289"/>
      <c r="D174" s="289"/>
      <c r="E174" s="289"/>
      <c r="F174" s="290"/>
      <c r="G174" s="28"/>
      <c r="H174" s="51"/>
      <c r="I174" s="51"/>
      <c r="J174" s="51"/>
      <c r="K174" s="51"/>
      <c r="L174" s="96"/>
      <c r="M174" s="96"/>
      <c r="N174" s="96"/>
      <c r="O174" s="96"/>
    </row>
    <row r="175" spans="1:15" x14ac:dyDescent="0.25">
      <c r="A175" s="18"/>
      <c r="B175" s="110" t="s">
        <v>171</v>
      </c>
      <c r="C175" s="73"/>
      <c r="D175" s="73"/>
      <c r="E175" s="73"/>
      <c r="F175" s="290"/>
      <c r="G175" s="40">
        <f>658.2+2268+1612.6</f>
        <v>4538.7999999999993</v>
      </c>
      <c r="H175" s="51"/>
      <c r="I175" s="51"/>
      <c r="J175" s="51"/>
      <c r="K175" s="51"/>
    </row>
    <row r="176" spans="1:15" x14ac:dyDescent="0.25">
      <c r="A176" s="18"/>
      <c r="B176" s="292" t="s">
        <v>164</v>
      </c>
      <c r="C176" s="292"/>
      <c r="D176" s="292"/>
      <c r="E176" s="292"/>
      <c r="F176" s="292"/>
      <c r="G176" s="40">
        <v>457.08</v>
      </c>
      <c r="H176" s="51"/>
      <c r="I176" s="51"/>
      <c r="J176" s="51"/>
      <c r="K176" s="51"/>
    </row>
    <row r="177" spans="1:11" x14ac:dyDescent="0.25">
      <c r="A177" s="18"/>
      <c r="B177" s="291" t="s">
        <v>172</v>
      </c>
      <c r="C177" s="48"/>
      <c r="D177" s="48"/>
      <c r="E177" s="48"/>
      <c r="F177" s="14"/>
      <c r="G177" s="26">
        <v>556.99</v>
      </c>
      <c r="H177" s="51"/>
      <c r="I177" s="51"/>
      <c r="J177" s="51"/>
      <c r="K177" s="51"/>
    </row>
    <row r="178" spans="1:11" x14ac:dyDescent="0.25">
      <c r="A178" s="18"/>
      <c r="B178" s="110" t="s">
        <v>173</v>
      </c>
      <c r="C178" s="73"/>
      <c r="D178" s="73"/>
      <c r="E178" s="73"/>
      <c r="F178" s="230"/>
      <c r="G178" s="232">
        <v>908.34</v>
      </c>
      <c r="H178" s="191"/>
      <c r="I178" s="191"/>
      <c r="J178" s="191"/>
      <c r="K178" s="51"/>
    </row>
    <row r="179" spans="1:11" x14ac:dyDescent="0.25">
      <c r="A179" s="18"/>
      <c r="B179" s="110" t="s">
        <v>174</v>
      </c>
      <c r="C179" s="73"/>
      <c r="D179" s="73"/>
      <c r="E179" s="73"/>
      <c r="F179" s="290"/>
      <c r="G179" s="232">
        <v>464.82</v>
      </c>
      <c r="H179" s="51"/>
      <c r="I179" s="51"/>
      <c r="J179" s="51"/>
      <c r="K179" s="51"/>
    </row>
    <row r="180" spans="1:11" x14ac:dyDescent="0.25">
      <c r="A180" s="18"/>
      <c r="B180" s="34"/>
      <c r="C180" s="32"/>
      <c r="D180" s="32"/>
      <c r="E180" s="32"/>
      <c r="F180" s="298" t="s">
        <v>115</v>
      </c>
      <c r="G180" s="67">
        <f>SUM(G174:G179)</f>
        <v>6926.0299999999988</v>
      </c>
      <c r="H180" s="191"/>
      <c r="I180" s="51"/>
      <c r="J180" s="51"/>
      <c r="K180" s="51"/>
    </row>
    <row r="181" spans="1:11" x14ac:dyDescent="0.25">
      <c r="A181" s="18"/>
      <c r="B181" s="288" t="s">
        <v>19</v>
      </c>
      <c r="C181" s="289"/>
      <c r="D181" s="289"/>
      <c r="E181" s="289"/>
      <c r="F181" s="290"/>
      <c r="G181" s="28"/>
      <c r="H181" s="51"/>
      <c r="I181" s="51"/>
      <c r="J181" s="51"/>
      <c r="K181" s="51"/>
    </row>
    <row r="182" spans="1:11" x14ac:dyDescent="0.25">
      <c r="A182" s="18"/>
      <c r="B182" s="110" t="s">
        <v>175</v>
      </c>
      <c r="C182" s="73"/>
      <c r="D182" s="73"/>
      <c r="E182" s="73"/>
      <c r="F182" s="290"/>
      <c r="G182" s="232">
        <v>728.98</v>
      </c>
      <c r="H182" s="51"/>
      <c r="I182" s="51"/>
      <c r="J182" s="51"/>
      <c r="K182" s="51"/>
    </row>
    <row r="183" spans="1:11" x14ac:dyDescent="0.25">
      <c r="A183" s="18"/>
      <c r="B183" s="178" t="s">
        <v>176</v>
      </c>
      <c r="C183" s="48"/>
      <c r="D183" s="48"/>
      <c r="E183" s="48"/>
      <c r="F183" s="301"/>
      <c r="G183" s="40">
        <v>54.84</v>
      </c>
      <c r="H183" s="191"/>
      <c r="I183" s="51"/>
      <c r="J183" s="51"/>
      <c r="K183" s="51"/>
    </row>
    <row r="184" spans="1:11" x14ac:dyDescent="0.25">
      <c r="A184" s="18"/>
      <c r="B184" s="178" t="s">
        <v>177</v>
      </c>
      <c r="C184" s="48"/>
      <c r="D184" s="48"/>
      <c r="E184" s="48"/>
      <c r="F184" s="301"/>
      <c r="G184" s="40">
        <v>512.85</v>
      </c>
      <c r="H184" s="191"/>
      <c r="I184" s="51"/>
      <c r="J184" s="51"/>
      <c r="K184" s="51"/>
    </row>
    <row r="185" spans="1:11" x14ac:dyDescent="0.25">
      <c r="A185" s="18"/>
      <c r="B185" s="110" t="s">
        <v>178</v>
      </c>
      <c r="C185" s="73"/>
      <c r="D185" s="73"/>
      <c r="E185" s="73"/>
      <c r="F185" s="230"/>
      <c r="G185" s="232">
        <f>843.72+679.27+2042.5</f>
        <v>3565.49</v>
      </c>
      <c r="H185" s="191"/>
      <c r="I185" s="191"/>
      <c r="J185" s="191"/>
      <c r="K185" s="51"/>
    </row>
    <row r="186" spans="1:11" x14ac:dyDescent="0.25">
      <c r="A186" s="18"/>
      <c r="B186" s="178" t="s">
        <v>179</v>
      </c>
      <c r="C186" s="48"/>
      <c r="D186" s="48"/>
      <c r="E186" s="48"/>
      <c r="F186" s="301"/>
      <c r="G186" s="40">
        <f>1095.15+2451</f>
        <v>3546.15</v>
      </c>
      <c r="H186" s="191"/>
      <c r="I186" s="51"/>
      <c r="J186" s="51"/>
      <c r="K186" s="51"/>
    </row>
    <row r="187" spans="1:11" x14ac:dyDescent="0.25">
      <c r="A187" s="18"/>
      <c r="B187" s="291"/>
      <c r="C187" s="302"/>
      <c r="D187" s="48"/>
      <c r="E187" s="48"/>
      <c r="F187" s="14"/>
      <c r="G187" s="26"/>
      <c r="H187" s="51"/>
      <c r="I187" s="51"/>
      <c r="J187" s="51"/>
      <c r="K187" s="51"/>
    </row>
    <row r="188" spans="1:11" x14ac:dyDescent="0.25">
      <c r="A188" s="18"/>
      <c r="B188" s="34"/>
      <c r="C188" s="32"/>
      <c r="D188" s="32"/>
      <c r="E188" s="32"/>
      <c r="F188" s="298" t="s">
        <v>115</v>
      </c>
      <c r="G188" s="67">
        <f>SUM(G181:G187)</f>
        <v>8408.31</v>
      </c>
      <c r="H188" s="51"/>
      <c r="I188" s="51"/>
      <c r="J188" s="51"/>
      <c r="K188" s="51"/>
    </row>
    <row r="189" spans="1:11" x14ac:dyDescent="0.25">
      <c r="A189" s="18"/>
      <c r="B189" s="288" t="s">
        <v>20</v>
      </c>
      <c r="C189" s="289"/>
      <c r="D189" s="289"/>
      <c r="E189" s="289"/>
      <c r="F189" s="290"/>
      <c r="G189" s="28"/>
      <c r="H189" s="191"/>
      <c r="I189" s="51"/>
      <c r="J189" s="51"/>
      <c r="K189" s="51"/>
    </row>
    <row r="190" spans="1:11" x14ac:dyDescent="0.25">
      <c r="A190" s="18"/>
      <c r="B190" s="303" t="s">
        <v>180</v>
      </c>
      <c r="C190" s="304"/>
      <c r="D190" s="304"/>
      <c r="E190" s="305"/>
      <c r="F190" s="306"/>
      <c r="G190" s="307">
        <f>8*400</f>
        <v>3200</v>
      </c>
      <c r="H190" s="308" t="s">
        <v>181</v>
      </c>
      <c r="I190" s="51"/>
      <c r="J190" s="51"/>
      <c r="K190" s="51"/>
    </row>
    <row r="191" spans="1:11" x14ac:dyDescent="0.25">
      <c r="A191" s="18"/>
      <c r="B191" s="291" t="s">
        <v>182</v>
      </c>
      <c r="C191" s="48"/>
      <c r="D191" s="48"/>
      <c r="E191" s="48"/>
      <c r="F191" s="14"/>
      <c r="G191" s="26">
        <f>10750.96+13072</f>
        <v>23822.959999999999</v>
      </c>
      <c r="H191" s="51"/>
      <c r="I191" s="51"/>
      <c r="J191" s="51"/>
      <c r="K191" s="51"/>
    </row>
    <row r="192" spans="1:11" x14ac:dyDescent="0.25">
      <c r="A192" s="18"/>
      <c r="B192" s="291" t="s">
        <v>183</v>
      </c>
      <c r="C192" s="48"/>
      <c r="D192" s="48"/>
      <c r="E192" s="48"/>
      <c r="F192" s="14"/>
      <c r="G192" s="26">
        <v>2584.8200000000002</v>
      </c>
      <c r="H192" s="191"/>
      <c r="I192" s="51"/>
      <c r="J192" s="51"/>
      <c r="K192" s="51"/>
    </row>
    <row r="193" spans="1:11" x14ac:dyDescent="0.25">
      <c r="A193" s="18"/>
      <c r="B193" s="110" t="s">
        <v>184</v>
      </c>
      <c r="C193" s="48"/>
      <c r="D193" s="48"/>
      <c r="E193" s="48"/>
      <c r="F193" s="14"/>
      <c r="G193" s="26">
        <f>1535.81+76.86</f>
        <v>1612.6699999999998</v>
      </c>
      <c r="H193" s="191"/>
      <c r="I193" s="51"/>
      <c r="J193" s="51"/>
      <c r="K193" s="51"/>
    </row>
    <row r="194" spans="1:11" x14ac:dyDescent="0.25">
      <c r="A194" s="18"/>
      <c r="B194" s="291"/>
      <c r="C194" s="48"/>
      <c r="D194" s="48"/>
      <c r="E194" s="48"/>
      <c r="F194" s="14"/>
      <c r="G194" s="26"/>
      <c r="H194" s="191"/>
      <c r="I194" s="51"/>
      <c r="J194" s="51"/>
      <c r="K194" s="51"/>
    </row>
    <row r="195" spans="1:11" x14ac:dyDescent="0.25">
      <c r="A195" s="18"/>
      <c r="B195" s="178"/>
      <c r="C195" s="73"/>
      <c r="D195" s="73"/>
      <c r="E195" s="73"/>
      <c r="F195" s="290"/>
      <c r="G195" s="232"/>
      <c r="H195" s="51"/>
      <c r="I195" s="51"/>
      <c r="J195" s="51"/>
      <c r="K195" s="51"/>
    </row>
    <row r="196" spans="1:11" x14ac:dyDescent="0.25">
      <c r="A196" s="18"/>
      <c r="B196" s="110"/>
      <c r="C196" s="73"/>
      <c r="D196" s="73"/>
      <c r="E196" s="73"/>
      <c r="F196" s="230"/>
      <c r="G196" s="232"/>
      <c r="H196" s="191"/>
      <c r="I196" s="191"/>
      <c r="J196" s="191"/>
      <c r="K196" s="51"/>
    </row>
    <row r="197" spans="1:11" x14ac:dyDescent="0.25">
      <c r="A197" s="18"/>
      <c r="B197" s="34"/>
      <c r="C197" s="32"/>
      <c r="D197" s="32"/>
      <c r="E197" s="32"/>
      <c r="F197" s="298" t="s">
        <v>115</v>
      </c>
      <c r="G197" s="67">
        <f>SUM(G189:G196)</f>
        <v>31220.449999999997</v>
      </c>
      <c r="H197" s="51">
        <f>G197-G190</f>
        <v>28020.449999999997</v>
      </c>
      <c r="I197" s="51"/>
      <c r="J197" s="51"/>
      <c r="K197" s="51"/>
    </row>
    <row r="198" spans="1:11" x14ac:dyDescent="0.25">
      <c r="A198" s="18"/>
      <c r="B198" s="288" t="s">
        <v>21</v>
      </c>
      <c r="C198" s="289"/>
      <c r="D198" s="289"/>
      <c r="E198" s="289"/>
      <c r="F198" s="290"/>
      <c r="G198" s="28"/>
      <c r="H198" s="191"/>
      <c r="I198" s="51"/>
      <c r="J198" s="51"/>
      <c r="K198" s="51"/>
    </row>
    <row r="199" spans="1:11" x14ac:dyDescent="0.25">
      <c r="A199" s="18"/>
      <c r="B199" s="110" t="s">
        <v>185</v>
      </c>
      <c r="C199" s="73"/>
      <c r="D199" s="73"/>
      <c r="E199" s="73"/>
      <c r="F199" s="290"/>
      <c r="G199" s="40">
        <v>1486.89</v>
      </c>
      <c r="H199" s="51"/>
      <c r="I199" s="51"/>
      <c r="J199" s="51"/>
      <c r="K199" s="51"/>
    </row>
    <row r="200" spans="1:11" x14ac:dyDescent="0.25">
      <c r="A200" s="18"/>
      <c r="B200" s="110" t="s">
        <v>186</v>
      </c>
      <c r="C200" s="48"/>
      <c r="D200" s="48"/>
      <c r="E200" s="48"/>
      <c r="F200" s="301"/>
      <c r="G200" s="40">
        <v>2288.4299999999998</v>
      </c>
      <c r="H200" s="51"/>
      <c r="I200" s="51"/>
      <c r="J200" s="51"/>
      <c r="K200" s="51"/>
    </row>
    <row r="201" spans="1:11" x14ac:dyDescent="0.25">
      <c r="A201" s="18"/>
      <c r="B201" s="110" t="s">
        <v>187</v>
      </c>
      <c r="C201" s="48"/>
      <c r="D201" s="48"/>
      <c r="E201" s="48"/>
      <c r="F201" s="14"/>
      <c r="G201" s="26"/>
      <c r="H201" s="51"/>
      <c r="I201" s="51"/>
      <c r="J201" s="51"/>
      <c r="K201" s="51"/>
    </row>
    <row r="202" spans="1:11" x14ac:dyDescent="0.25">
      <c r="A202" s="18"/>
      <c r="B202" s="291" t="s">
        <v>188</v>
      </c>
      <c r="C202" s="73"/>
      <c r="D202" s="73"/>
      <c r="E202" s="73"/>
      <c r="F202" s="290"/>
      <c r="G202" s="232">
        <f>3569.89+8803.14+4085+6611.02+6372.6+8803.14+9804+4407.34+4085</f>
        <v>56541.130000000005</v>
      </c>
      <c r="H202" s="51"/>
      <c r="I202" s="51"/>
      <c r="J202" s="51"/>
      <c r="K202" s="51"/>
    </row>
    <row r="203" spans="1:11" x14ac:dyDescent="0.25">
      <c r="A203" s="18"/>
      <c r="B203" s="110" t="s">
        <v>189</v>
      </c>
      <c r="C203" s="73"/>
      <c r="D203" s="73"/>
      <c r="E203" s="73"/>
      <c r="F203" s="73"/>
      <c r="G203" s="26">
        <f>2813.53+1847.95+490.2</f>
        <v>5151.68</v>
      </c>
      <c r="H203" s="191"/>
      <c r="I203" s="51"/>
      <c r="J203" s="51"/>
      <c r="K203" s="51"/>
    </row>
    <row r="204" spans="1:11" x14ac:dyDescent="0.25">
      <c r="A204" s="18"/>
      <c r="B204" s="303" t="s">
        <v>180</v>
      </c>
      <c r="C204" s="304"/>
      <c r="D204" s="304"/>
      <c r="E204" s="305"/>
      <c r="F204" s="306"/>
      <c r="G204" s="307">
        <f>400*3</f>
        <v>1200</v>
      </c>
      <c r="H204" s="308" t="s">
        <v>181</v>
      </c>
      <c r="I204" s="51"/>
      <c r="J204" s="51"/>
      <c r="K204" s="51"/>
    </row>
    <row r="205" spans="1:11" x14ac:dyDescent="0.25">
      <c r="A205" s="18"/>
      <c r="B205" s="110"/>
      <c r="C205" s="73"/>
      <c r="D205" s="73"/>
      <c r="E205" s="73"/>
      <c r="F205" s="230"/>
      <c r="G205" s="232"/>
      <c r="H205" s="191"/>
      <c r="I205" s="191"/>
      <c r="J205" s="191"/>
      <c r="K205" s="51"/>
    </row>
    <row r="206" spans="1:11" x14ac:dyDescent="0.25">
      <c r="A206" s="18"/>
      <c r="B206" s="9"/>
      <c r="C206" s="2"/>
      <c r="D206" s="2"/>
      <c r="E206" s="2"/>
      <c r="F206" s="2"/>
      <c r="G206" s="309"/>
      <c r="H206" s="191"/>
      <c r="I206" s="51"/>
      <c r="J206" s="51"/>
      <c r="K206" s="51"/>
    </row>
    <row r="207" spans="1:11" x14ac:dyDescent="0.25">
      <c r="A207" s="18"/>
      <c r="B207" s="9"/>
      <c r="C207" s="2"/>
      <c r="D207" s="2"/>
      <c r="E207" s="2"/>
      <c r="F207" s="2"/>
      <c r="G207" s="26"/>
      <c r="H207" s="191"/>
      <c r="I207" s="51"/>
      <c r="J207" s="51"/>
      <c r="K207" s="51"/>
    </row>
    <row r="208" spans="1:11" x14ac:dyDescent="0.25">
      <c r="A208" s="18"/>
      <c r="B208" s="34"/>
      <c r="C208" s="32"/>
      <c r="D208" s="32"/>
      <c r="E208" s="32"/>
      <c r="F208" s="298" t="s">
        <v>115</v>
      </c>
      <c r="G208" s="67">
        <f>SUM(G198:G205)</f>
        <v>66668.13</v>
      </c>
      <c r="H208" s="51">
        <f>G208-G205</f>
        <v>66668.13</v>
      </c>
      <c r="I208" s="51"/>
      <c r="J208" s="51"/>
      <c r="K208" s="51"/>
    </row>
    <row r="209" spans="1:11" x14ac:dyDescent="0.25">
      <c r="A209" s="18"/>
      <c r="B209" s="288" t="s">
        <v>22</v>
      </c>
      <c r="C209" s="289"/>
      <c r="D209" s="289"/>
      <c r="E209" s="289"/>
      <c r="F209" s="290"/>
      <c r="G209" s="28"/>
      <c r="H209" s="51"/>
      <c r="I209" s="51"/>
      <c r="J209" s="51"/>
      <c r="K209" s="51"/>
    </row>
    <row r="210" spans="1:11" x14ac:dyDescent="0.25">
      <c r="A210" s="18"/>
      <c r="B210" s="110" t="s">
        <v>190</v>
      </c>
      <c r="C210" s="73"/>
      <c r="D210" s="73"/>
      <c r="E210" s="73"/>
      <c r="F210" s="290"/>
      <c r="G210" s="232">
        <v>406.74</v>
      </c>
      <c r="H210" s="51"/>
      <c r="I210" s="51"/>
      <c r="J210" s="51"/>
      <c r="K210" s="51"/>
    </row>
    <row r="211" spans="1:11" x14ac:dyDescent="0.25">
      <c r="A211" s="18"/>
      <c r="B211" s="291" t="s">
        <v>191</v>
      </c>
      <c r="C211" s="48"/>
      <c r="D211" s="48"/>
      <c r="E211" s="48"/>
      <c r="F211" s="14"/>
      <c r="G211" s="40">
        <f>1262.3+426</f>
        <v>1688.3</v>
      </c>
      <c r="H211" s="51"/>
      <c r="I211" s="51"/>
      <c r="J211" s="51"/>
      <c r="K211" s="51"/>
    </row>
    <row r="212" spans="1:11" x14ac:dyDescent="0.25">
      <c r="A212" s="18"/>
      <c r="B212" s="110" t="s">
        <v>192</v>
      </c>
      <c r="C212" s="48"/>
      <c r="D212" s="48"/>
      <c r="E212" s="48"/>
      <c r="F212" s="301"/>
      <c r="G212" s="40">
        <v>1402.93</v>
      </c>
      <c r="H212" s="51"/>
      <c r="I212" s="51"/>
      <c r="J212" s="51"/>
      <c r="K212" s="51"/>
    </row>
    <row r="213" spans="1:11" x14ac:dyDescent="0.25">
      <c r="A213" s="18"/>
      <c r="B213" s="110" t="s">
        <v>193</v>
      </c>
      <c r="C213" s="48"/>
      <c r="D213" s="48"/>
      <c r="E213" s="48"/>
      <c r="F213" s="14"/>
      <c r="G213" s="26">
        <v>4483.2700000000004</v>
      </c>
      <c r="H213" s="51"/>
      <c r="I213" s="51"/>
      <c r="J213" s="51"/>
      <c r="K213" s="51"/>
    </row>
    <row r="214" spans="1:11" x14ac:dyDescent="0.25">
      <c r="A214" s="18"/>
      <c r="B214" s="110" t="s">
        <v>194</v>
      </c>
      <c r="C214" s="73"/>
      <c r="D214" s="73"/>
      <c r="E214" s="73"/>
      <c r="F214" s="230"/>
      <c r="G214" s="26">
        <v>1536.15</v>
      </c>
      <c r="H214" s="191"/>
      <c r="I214" s="191"/>
      <c r="J214" s="51"/>
      <c r="K214" s="51"/>
    </row>
    <row r="215" spans="1:11" x14ac:dyDescent="0.25">
      <c r="A215" s="18"/>
      <c r="B215" s="291" t="s">
        <v>195</v>
      </c>
      <c r="C215" s="2"/>
      <c r="D215" s="2"/>
      <c r="E215" s="2"/>
      <c r="F215" s="116"/>
      <c r="G215" s="294">
        <v>1685.07</v>
      </c>
      <c r="H215" s="191"/>
      <c r="I215" s="191"/>
      <c r="J215" s="51"/>
      <c r="K215" s="51"/>
    </row>
    <row r="216" spans="1:11" x14ac:dyDescent="0.25">
      <c r="A216" s="18"/>
      <c r="B216" s="110" t="s">
        <v>196</v>
      </c>
      <c r="C216" s="73"/>
      <c r="D216" s="73"/>
      <c r="E216" s="73"/>
      <c r="F216" s="230"/>
      <c r="G216" s="232">
        <f>523.58+495.24+490.2</f>
        <v>1509.02</v>
      </c>
      <c r="H216" s="191"/>
      <c r="I216" s="191"/>
      <c r="J216" s="191"/>
      <c r="K216" s="51"/>
    </row>
    <row r="217" spans="1:11" x14ac:dyDescent="0.25">
      <c r="A217" s="18"/>
      <c r="B217" s="9" t="s">
        <v>197</v>
      </c>
      <c r="C217" s="2"/>
      <c r="D217" s="2"/>
      <c r="E217" s="2"/>
      <c r="F217" s="116"/>
      <c r="G217" s="294">
        <f>4575.01+1225.5</f>
        <v>5800.51</v>
      </c>
      <c r="H217" s="191"/>
      <c r="I217" s="191"/>
      <c r="J217" s="191"/>
      <c r="K217" s="51"/>
    </row>
    <row r="218" spans="1:11" x14ac:dyDescent="0.25">
      <c r="A218" s="18"/>
      <c r="B218" s="303" t="s">
        <v>180</v>
      </c>
      <c r="C218" s="304"/>
      <c r="D218" s="304"/>
      <c r="E218" s="305"/>
      <c r="F218" s="306"/>
      <c r="G218" s="307">
        <v>400</v>
      </c>
      <c r="H218" s="308" t="s">
        <v>181</v>
      </c>
      <c r="I218" s="191"/>
      <c r="J218" s="191"/>
      <c r="K218" s="51"/>
    </row>
    <row r="219" spans="1:11" x14ac:dyDescent="0.25">
      <c r="A219" s="18"/>
      <c r="B219" s="9"/>
      <c r="C219" s="2"/>
      <c r="D219" s="2"/>
      <c r="E219" s="2"/>
      <c r="F219" s="116"/>
      <c r="G219" s="294"/>
      <c r="H219" s="191"/>
      <c r="I219" s="191"/>
      <c r="J219" s="191"/>
      <c r="K219" s="51"/>
    </row>
    <row r="220" spans="1:11" x14ac:dyDescent="0.25">
      <c r="A220" s="18"/>
      <c r="B220" s="34"/>
      <c r="C220" s="32"/>
      <c r="D220" s="32"/>
      <c r="E220" s="32"/>
      <c r="F220" s="298" t="s">
        <v>115</v>
      </c>
      <c r="G220" s="67">
        <f>SUM(G209:G218)</f>
        <v>18911.990000000002</v>
      </c>
      <c r="H220" s="51">
        <f>G220-G216</f>
        <v>17402.97</v>
      </c>
      <c r="I220" s="51"/>
      <c r="J220" s="51"/>
      <c r="K220" s="51"/>
    </row>
    <row r="221" spans="1:11" x14ac:dyDescent="0.25">
      <c r="A221" s="18"/>
      <c r="B221" s="288" t="s">
        <v>24</v>
      </c>
      <c r="C221" s="289"/>
      <c r="D221" s="289"/>
      <c r="E221" s="289"/>
      <c r="F221" s="290"/>
      <c r="G221" s="28"/>
      <c r="H221" s="51"/>
      <c r="I221" s="51"/>
      <c r="J221" s="51"/>
      <c r="K221" s="51"/>
    </row>
    <row r="222" spans="1:11" x14ac:dyDescent="0.25">
      <c r="A222" s="18"/>
      <c r="B222" s="303" t="s">
        <v>180</v>
      </c>
      <c r="C222" s="304"/>
      <c r="D222" s="304"/>
      <c r="E222" s="305"/>
      <c r="F222" s="306"/>
      <c r="G222" s="307">
        <v>400</v>
      </c>
      <c r="H222" s="308" t="s">
        <v>181</v>
      </c>
      <c r="I222" s="51"/>
      <c r="J222" s="51"/>
      <c r="K222" s="51"/>
    </row>
    <row r="223" spans="1:11" x14ac:dyDescent="0.25">
      <c r="A223" s="18"/>
      <c r="B223" s="178" t="s">
        <v>198</v>
      </c>
      <c r="C223" s="48"/>
      <c r="D223" s="48"/>
      <c r="E223" s="48"/>
      <c r="F223" s="14"/>
      <c r="G223" s="40">
        <v>6157.86</v>
      </c>
      <c r="H223" s="191"/>
      <c r="I223" s="154"/>
      <c r="J223" s="51"/>
      <c r="K223" s="51"/>
    </row>
    <row r="224" spans="1:11" x14ac:dyDescent="0.25">
      <c r="A224" s="18"/>
      <c r="B224" s="110" t="s">
        <v>199</v>
      </c>
      <c r="C224" s="73"/>
      <c r="D224" s="73"/>
      <c r="E224" s="73"/>
      <c r="F224" s="230"/>
      <c r="G224" s="232">
        <v>7097.79</v>
      </c>
      <c r="H224" s="191"/>
      <c r="I224" s="191"/>
      <c r="J224" s="191"/>
      <c r="K224" s="51"/>
    </row>
    <row r="225" spans="1:11" x14ac:dyDescent="0.25">
      <c r="A225" s="18"/>
      <c r="B225" s="110" t="s">
        <v>200</v>
      </c>
      <c r="C225" s="48"/>
      <c r="D225" s="48"/>
      <c r="E225" s="48"/>
      <c r="F225" s="14"/>
      <c r="G225" s="26">
        <v>738.66</v>
      </c>
      <c r="H225" s="51"/>
      <c r="I225" s="51"/>
      <c r="J225" s="51"/>
      <c r="K225" s="51"/>
    </row>
    <row r="226" spans="1:11" x14ac:dyDescent="0.25">
      <c r="A226" s="18"/>
      <c r="B226" s="291" t="s">
        <v>201</v>
      </c>
      <c r="C226" s="48"/>
      <c r="D226" s="48"/>
      <c r="E226" s="48"/>
      <c r="F226" s="14"/>
      <c r="G226" s="310">
        <v>1685.07</v>
      </c>
      <c r="H226" s="191"/>
      <c r="I226" s="191"/>
      <c r="J226" s="51"/>
      <c r="K226" s="51"/>
    </row>
    <row r="227" spans="1:11" x14ac:dyDescent="0.25">
      <c r="A227" s="18"/>
      <c r="B227" s="34"/>
      <c r="C227" s="32"/>
      <c r="D227" s="32"/>
      <c r="E227" s="32"/>
      <c r="F227" s="298" t="s">
        <v>115</v>
      </c>
      <c r="G227" s="67">
        <f>SUM(G221:G226)</f>
        <v>16079.38</v>
      </c>
      <c r="H227" s="51"/>
      <c r="I227" s="51"/>
      <c r="J227" s="51"/>
      <c r="K227" s="51"/>
    </row>
    <row r="228" spans="1:11" x14ac:dyDescent="0.25">
      <c r="A228" s="18"/>
      <c r="B228" s="288" t="s">
        <v>26</v>
      </c>
      <c r="C228" s="289"/>
      <c r="D228" s="289"/>
      <c r="E228" s="289"/>
      <c r="F228" s="290"/>
      <c r="G228" s="28"/>
      <c r="H228" s="51"/>
      <c r="I228" s="51"/>
      <c r="J228" s="51"/>
      <c r="K228" s="51"/>
    </row>
    <row r="229" spans="1:11" x14ac:dyDescent="0.25">
      <c r="A229" s="18"/>
      <c r="B229" s="291" t="s">
        <v>202</v>
      </c>
      <c r="C229" s="73"/>
      <c r="D229" s="73"/>
      <c r="E229" s="73"/>
      <c r="F229" s="290"/>
      <c r="G229" s="40">
        <v>1169.6199999999999</v>
      </c>
      <c r="H229" s="51"/>
      <c r="I229" s="51"/>
      <c r="J229" s="51"/>
      <c r="K229" s="51"/>
    </row>
    <row r="230" spans="1:11" x14ac:dyDescent="0.25">
      <c r="A230" s="18"/>
      <c r="B230" s="291" t="s">
        <v>203</v>
      </c>
      <c r="C230" s="48"/>
      <c r="D230" s="48"/>
      <c r="E230" s="48"/>
      <c r="F230" s="301"/>
      <c r="G230" s="40">
        <f>1067.87+1240.55+2451+1067.87+1240.55+2451</f>
        <v>9518.84</v>
      </c>
      <c r="H230" s="51"/>
      <c r="I230" s="51"/>
      <c r="J230" s="51"/>
      <c r="K230" s="51"/>
    </row>
    <row r="231" spans="1:11" x14ac:dyDescent="0.25">
      <c r="A231" s="18"/>
      <c r="B231" s="291" t="s">
        <v>204</v>
      </c>
      <c r="C231" s="48"/>
      <c r="D231" s="48"/>
      <c r="E231" s="48"/>
      <c r="F231" s="14"/>
      <c r="G231" s="26">
        <f>3421.29+4085</f>
        <v>7506.29</v>
      </c>
      <c r="H231" s="51"/>
      <c r="I231" s="51"/>
      <c r="J231" s="51"/>
      <c r="K231" s="51"/>
    </row>
    <row r="232" spans="1:11" x14ac:dyDescent="0.25">
      <c r="A232" s="18"/>
      <c r="B232" s="110" t="s">
        <v>205</v>
      </c>
      <c r="C232" s="73"/>
      <c r="D232" s="73"/>
      <c r="E232" s="73"/>
      <c r="F232" s="230"/>
      <c r="G232" s="26">
        <f>4801.75+4529.12+490.2+36558.44+3434.36+490.2+1034.09+966.43+490.2</f>
        <v>52794.789999999994</v>
      </c>
      <c r="H232" s="51"/>
      <c r="I232" s="51"/>
      <c r="J232" s="51"/>
      <c r="K232" s="51"/>
    </row>
    <row r="233" spans="1:11" x14ac:dyDescent="0.25">
      <c r="A233" s="18"/>
      <c r="B233" s="110" t="s">
        <v>206</v>
      </c>
      <c r="C233" s="73"/>
      <c r="D233" s="73"/>
      <c r="E233" s="73"/>
      <c r="F233" s="230"/>
      <c r="G233" s="232">
        <v>1626.97</v>
      </c>
      <c r="H233" s="51"/>
      <c r="I233" s="51"/>
      <c r="J233" s="51"/>
      <c r="K233" s="51"/>
    </row>
    <row r="234" spans="1:11" x14ac:dyDescent="0.25">
      <c r="A234" s="18"/>
      <c r="B234" s="9" t="s">
        <v>207</v>
      </c>
      <c r="C234" s="73"/>
      <c r="D234" s="73"/>
      <c r="E234" s="73"/>
      <c r="F234" s="73"/>
      <c r="G234" s="309">
        <v>1626.97</v>
      </c>
      <c r="H234" s="51"/>
      <c r="I234" s="51"/>
      <c r="J234" s="51"/>
      <c r="K234" s="51"/>
    </row>
    <row r="235" spans="1:11" x14ac:dyDescent="0.25">
      <c r="A235" s="18"/>
      <c r="B235" s="9" t="s">
        <v>208</v>
      </c>
      <c r="C235" s="2"/>
      <c r="D235" s="2"/>
      <c r="E235" s="2"/>
      <c r="F235" s="2"/>
      <c r="G235" s="309">
        <v>1019.14</v>
      </c>
      <c r="H235" s="51"/>
      <c r="I235" s="51"/>
      <c r="J235" s="51"/>
      <c r="K235" s="51"/>
    </row>
    <row r="236" spans="1:11" x14ac:dyDescent="0.25">
      <c r="A236" s="18"/>
      <c r="B236" s="9" t="s">
        <v>209</v>
      </c>
      <c r="C236" s="2"/>
      <c r="D236" s="2"/>
      <c r="E236" s="2"/>
      <c r="F236" s="2"/>
      <c r="G236" s="309">
        <v>1241.01</v>
      </c>
      <c r="H236" s="51"/>
      <c r="I236" s="51"/>
      <c r="J236" s="51"/>
      <c r="K236" s="51"/>
    </row>
    <row r="237" spans="1:11" x14ac:dyDescent="0.25">
      <c r="A237" s="18"/>
      <c r="B237" s="231" t="s">
        <v>180</v>
      </c>
      <c r="C237" s="311"/>
      <c r="D237" s="311"/>
      <c r="E237" s="311"/>
      <c r="F237" s="311"/>
      <c r="G237" s="312">
        <v>2800</v>
      </c>
      <c r="H237" s="313" t="s">
        <v>181</v>
      </c>
      <c r="I237" s="51"/>
      <c r="J237" s="51"/>
      <c r="K237" s="51"/>
    </row>
    <row r="238" spans="1:11" x14ac:dyDescent="0.25">
      <c r="A238" s="18"/>
      <c r="B238" s="110"/>
      <c r="C238" s="73"/>
      <c r="D238" s="73"/>
      <c r="E238" s="73"/>
      <c r="F238" s="230"/>
      <c r="G238" s="232"/>
      <c r="H238" s="191"/>
      <c r="I238" s="191"/>
      <c r="J238" s="191"/>
      <c r="K238" s="51"/>
    </row>
    <row r="239" spans="1:11" x14ac:dyDescent="0.25">
      <c r="A239" s="18"/>
      <c r="B239" s="34"/>
      <c r="C239" s="32"/>
      <c r="D239" s="32"/>
      <c r="E239" s="32"/>
      <c r="F239" s="298" t="s">
        <v>115</v>
      </c>
      <c r="G239" s="67">
        <f>SUM(G228:G238)</f>
        <v>79303.62999999999</v>
      </c>
      <c r="H239" s="51"/>
      <c r="I239" s="51"/>
      <c r="J239" s="51"/>
      <c r="K239" s="51"/>
    </row>
    <row r="240" spans="1:11" x14ac:dyDescent="0.25">
      <c r="A240" s="18"/>
      <c r="B240" s="288" t="s">
        <v>28</v>
      </c>
      <c r="C240" s="289"/>
      <c r="D240" s="289"/>
      <c r="E240" s="289"/>
      <c r="F240" s="290"/>
      <c r="G240" s="28"/>
      <c r="H240" s="51"/>
      <c r="I240" s="51"/>
      <c r="J240" s="51"/>
      <c r="K240" s="51"/>
    </row>
    <row r="241" spans="1:11" x14ac:dyDescent="0.25">
      <c r="A241" s="18"/>
      <c r="B241" s="291" t="s">
        <v>210</v>
      </c>
      <c r="C241" s="73"/>
      <c r="D241" s="73"/>
      <c r="E241" s="73"/>
      <c r="F241" s="290"/>
      <c r="G241" s="232">
        <v>178.77</v>
      </c>
      <c r="H241" s="51"/>
      <c r="I241" s="51"/>
      <c r="J241" s="51"/>
      <c r="K241" s="51"/>
    </row>
    <row r="242" spans="1:11" x14ac:dyDescent="0.25">
      <c r="A242" s="18"/>
      <c r="B242" s="110" t="s">
        <v>207</v>
      </c>
      <c r="C242" s="48"/>
      <c r="D242" s="48"/>
      <c r="E242" s="48"/>
      <c r="F242" s="301"/>
      <c r="G242" s="40">
        <v>1626.97</v>
      </c>
      <c r="H242" s="51"/>
      <c r="I242" s="51"/>
      <c r="J242" s="51"/>
      <c r="K242" s="51"/>
    </row>
    <row r="243" spans="1:11" x14ac:dyDescent="0.25">
      <c r="A243" s="18"/>
      <c r="B243" s="231" t="s">
        <v>180</v>
      </c>
      <c r="C243" s="305"/>
      <c r="D243" s="305"/>
      <c r="E243" s="305"/>
      <c r="F243" s="306"/>
      <c r="G243" s="307">
        <f>400+400+400</f>
        <v>1200</v>
      </c>
      <c r="H243" s="314" t="s">
        <v>181</v>
      </c>
      <c r="I243" s="191"/>
      <c r="J243" s="191"/>
      <c r="K243" s="51"/>
    </row>
    <row r="244" spans="1:11" x14ac:dyDescent="0.25">
      <c r="A244" s="18"/>
      <c r="B244" s="315" t="s">
        <v>211</v>
      </c>
      <c r="C244" s="316"/>
      <c r="D244" s="316"/>
      <c r="E244" s="316"/>
      <c r="F244" s="306"/>
      <c r="G244" s="317">
        <f>-2525.43</f>
        <v>-2525.4299999999998</v>
      </c>
      <c r="H244" s="318" t="s">
        <v>212</v>
      </c>
      <c r="I244" s="318"/>
      <c r="J244" s="319"/>
      <c r="K244" s="51"/>
    </row>
    <row r="245" spans="1:11" x14ac:dyDescent="0.25">
      <c r="A245" s="18"/>
      <c r="B245" s="110"/>
      <c r="C245" s="73"/>
      <c r="D245" s="73"/>
      <c r="E245" s="73"/>
      <c r="F245" s="230"/>
      <c r="G245" s="232"/>
      <c r="H245" s="191"/>
      <c r="I245" s="191"/>
      <c r="J245" s="191"/>
      <c r="K245" s="51"/>
    </row>
    <row r="246" spans="1:11" x14ac:dyDescent="0.25">
      <c r="A246" s="18"/>
      <c r="B246" s="34"/>
      <c r="C246" s="32"/>
      <c r="D246" s="32"/>
      <c r="E246" s="32"/>
      <c r="F246" s="298" t="s">
        <v>115</v>
      </c>
      <c r="G246" s="67">
        <f>SUM(G240:G245)</f>
        <v>480.30999999999995</v>
      </c>
      <c r="H246" s="51"/>
      <c r="I246" s="51"/>
      <c r="J246" s="51"/>
      <c r="K246" s="51"/>
    </row>
    <row r="247" spans="1:11" x14ac:dyDescent="0.25">
      <c r="A247" s="18"/>
      <c r="B247" s="288" t="s">
        <v>30</v>
      </c>
      <c r="C247" s="289"/>
      <c r="D247" s="289"/>
      <c r="E247" s="289"/>
      <c r="F247" s="290"/>
      <c r="G247" s="28"/>
      <c r="H247" s="191"/>
      <c r="I247" s="51"/>
      <c r="J247" s="51"/>
      <c r="K247" s="51"/>
    </row>
    <row r="248" spans="1:11" x14ac:dyDescent="0.25">
      <c r="A248" s="18"/>
      <c r="B248" s="110" t="s">
        <v>213</v>
      </c>
      <c r="C248" s="73"/>
      <c r="D248" s="73"/>
      <c r="E248" s="73"/>
      <c r="F248" s="230"/>
      <c r="G248" s="26">
        <v>1982.22</v>
      </c>
      <c r="H248" s="320"/>
      <c r="I248" s="51"/>
      <c r="J248" s="51"/>
      <c r="K248" s="51"/>
    </row>
    <row r="249" spans="1:11" x14ac:dyDescent="0.25">
      <c r="A249" s="18"/>
      <c r="B249" s="291" t="s">
        <v>214</v>
      </c>
      <c r="C249" s="45"/>
      <c r="D249" s="45"/>
      <c r="E249" s="45"/>
      <c r="F249" s="46"/>
      <c r="G249" s="26">
        <v>290.52999999999997</v>
      </c>
      <c r="H249" s="191"/>
      <c r="I249" s="191"/>
      <c r="J249" s="51"/>
      <c r="K249" s="51"/>
    </row>
    <row r="250" spans="1:11" x14ac:dyDescent="0.25">
      <c r="A250" s="18"/>
      <c r="B250" s="291" t="s">
        <v>215</v>
      </c>
      <c r="C250" s="48"/>
      <c r="D250" s="48"/>
      <c r="E250" s="48"/>
      <c r="F250" s="14"/>
      <c r="G250" s="26">
        <v>452.74</v>
      </c>
      <c r="H250" s="51"/>
      <c r="I250" s="51"/>
      <c r="J250" s="51"/>
      <c r="K250" s="51"/>
    </row>
    <row r="251" spans="1:11" x14ac:dyDescent="0.25">
      <c r="A251" s="18"/>
      <c r="B251" s="291" t="s">
        <v>216</v>
      </c>
      <c r="C251" s="48"/>
      <c r="D251" s="48"/>
      <c r="E251" s="48"/>
      <c r="F251" s="14"/>
      <c r="G251" s="26">
        <f>8911.32+1404.29</f>
        <v>10315.61</v>
      </c>
      <c r="H251" s="191"/>
      <c r="I251" s="191"/>
      <c r="J251" s="51"/>
      <c r="K251" s="51"/>
    </row>
    <row r="252" spans="1:11" x14ac:dyDescent="0.25">
      <c r="A252" s="18"/>
      <c r="B252" s="9" t="s">
        <v>217</v>
      </c>
      <c r="C252" s="2"/>
      <c r="D252" s="2"/>
      <c r="E252" s="2"/>
      <c r="F252" s="2"/>
      <c r="G252" s="309">
        <v>1513.04</v>
      </c>
      <c r="H252" s="51"/>
      <c r="I252" s="51"/>
      <c r="J252" s="51"/>
      <c r="K252" s="51"/>
    </row>
    <row r="253" spans="1:11" x14ac:dyDescent="0.25">
      <c r="A253" s="18"/>
      <c r="B253" s="231" t="s">
        <v>218</v>
      </c>
      <c r="C253" s="305"/>
      <c r="D253" s="305"/>
      <c r="E253" s="305"/>
      <c r="F253" s="306"/>
      <c r="G253" s="307">
        <v>400</v>
      </c>
      <c r="H253" s="314" t="s">
        <v>181</v>
      </c>
      <c r="I253" s="51"/>
      <c r="J253" s="51"/>
      <c r="K253" s="51"/>
    </row>
    <row r="254" spans="1:11" x14ac:dyDescent="0.25">
      <c r="A254" s="18"/>
      <c r="B254" s="9"/>
      <c r="C254" s="2"/>
      <c r="D254" s="2"/>
      <c r="E254" s="2"/>
      <c r="F254" s="2"/>
      <c r="G254" s="26"/>
      <c r="H254" s="51"/>
      <c r="I254" s="51"/>
      <c r="J254" s="51"/>
      <c r="K254" s="51"/>
    </row>
    <row r="255" spans="1:11" x14ac:dyDescent="0.25">
      <c r="A255" s="18"/>
      <c r="B255" s="34"/>
      <c r="C255" s="32"/>
      <c r="D255" s="32"/>
      <c r="E255" s="32"/>
      <c r="F255" s="298" t="s">
        <v>115</v>
      </c>
      <c r="G255" s="67">
        <f>SUM(G247:G252)</f>
        <v>14554.14</v>
      </c>
      <c r="H255" s="51"/>
      <c r="I255" s="51"/>
      <c r="J255" s="51"/>
      <c r="K255" s="51"/>
    </row>
    <row r="256" spans="1:11" x14ac:dyDescent="0.25">
      <c r="A256" s="18"/>
      <c r="B256" s="288" t="s">
        <v>32</v>
      </c>
      <c r="C256" s="289"/>
      <c r="D256" s="289"/>
      <c r="E256" s="289"/>
      <c r="F256" s="290"/>
      <c r="G256" s="28"/>
      <c r="H256" s="51"/>
      <c r="I256" s="51"/>
      <c r="J256" s="51"/>
      <c r="K256" s="51"/>
    </row>
    <row r="257" spans="1:11" x14ac:dyDescent="0.25">
      <c r="A257" s="18"/>
      <c r="B257" s="231" t="s">
        <v>219</v>
      </c>
      <c r="C257" s="305"/>
      <c r="D257" s="305"/>
      <c r="E257" s="305"/>
      <c r="F257" s="306"/>
      <c r="G257" s="307">
        <v>1200</v>
      </c>
      <c r="H257" s="314" t="s">
        <v>181</v>
      </c>
      <c r="I257" s="51"/>
      <c r="J257" s="51"/>
      <c r="K257" s="51"/>
    </row>
    <row r="258" spans="1:11" x14ac:dyDescent="0.25">
      <c r="A258" s="18"/>
      <c r="B258" s="178" t="s">
        <v>220</v>
      </c>
      <c r="C258" s="48"/>
      <c r="D258" s="48"/>
      <c r="E258" s="48"/>
      <c r="F258" s="321"/>
      <c r="G258" s="40">
        <f>968.43+1236.49+2777.8</f>
        <v>4982.72</v>
      </c>
      <c r="H258" s="191"/>
      <c r="I258" s="191"/>
      <c r="J258" s="191"/>
      <c r="K258" s="51"/>
    </row>
    <row r="259" spans="1:11" x14ac:dyDescent="0.25">
      <c r="B259" s="291" t="s">
        <v>221</v>
      </c>
      <c r="C259" s="48"/>
      <c r="D259" s="48"/>
      <c r="E259" s="48"/>
      <c r="F259" s="14"/>
      <c r="G259" s="26">
        <f>769.66+769.66</f>
        <v>1539.32</v>
      </c>
      <c r="H259" s="51"/>
      <c r="I259" s="51"/>
      <c r="J259" s="51"/>
      <c r="K259" s="51"/>
    </row>
    <row r="260" spans="1:11" x14ac:dyDescent="0.25">
      <c r="B260" s="178" t="s">
        <v>222</v>
      </c>
      <c r="C260" s="48"/>
      <c r="D260" s="48"/>
      <c r="E260" s="48"/>
      <c r="F260" s="14"/>
      <c r="G260" s="40">
        <v>605.27</v>
      </c>
      <c r="H260" s="51"/>
      <c r="I260" s="51"/>
      <c r="J260" s="51"/>
      <c r="K260" s="51"/>
    </row>
    <row r="261" spans="1:11" x14ac:dyDescent="0.25">
      <c r="B261" s="178" t="s">
        <v>223</v>
      </c>
      <c r="C261" s="48"/>
      <c r="D261" s="48"/>
      <c r="E261" s="48"/>
      <c r="F261" s="321"/>
      <c r="G261" s="40">
        <v>1561.11</v>
      </c>
      <c r="H261" s="51"/>
      <c r="I261" s="51"/>
      <c r="J261" s="51"/>
      <c r="K261" s="51"/>
    </row>
    <row r="262" spans="1:11" x14ac:dyDescent="0.25">
      <c r="B262" s="178" t="s">
        <v>224</v>
      </c>
      <c r="C262" s="48"/>
      <c r="D262" s="48"/>
      <c r="E262" s="48"/>
      <c r="F262" s="321"/>
      <c r="G262" s="40">
        <f>3744.81+1128.52</f>
        <v>4873.33</v>
      </c>
      <c r="H262" s="51"/>
      <c r="I262" s="51"/>
      <c r="J262" s="51"/>
      <c r="K262" s="51"/>
    </row>
    <row r="263" spans="1:11" x14ac:dyDescent="0.25">
      <c r="B263" s="178" t="s">
        <v>225</v>
      </c>
      <c r="C263" s="48"/>
      <c r="D263" s="48"/>
      <c r="E263" s="48"/>
      <c r="F263" s="321"/>
      <c r="G263" s="40">
        <v>48.42</v>
      </c>
      <c r="H263" s="51"/>
      <c r="I263" s="51"/>
      <c r="J263" s="51"/>
      <c r="K263" s="51"/>
    </row>
    <row r="264" spans="1:11" x14ac:dyDescent="0.25">
      <c r="B264" s="110" t="s">
        <v>226</v>
      </c>
      <c r="C264" s="73"/>
      <c r="D264" s="73"/>
      <c r="E264" s="73"/>
      <c r="F264" s="230"/>
      <c r="G264" s="26">
        <v>13449.8</v>
      </c>
      <c r="H264" s="51"/>
      <c r="I264" s="51"/>
      <c r="J264" s="51"/>
      <c r="K264" s="51"/>
    </row>
    <row r="265" spans="1:11" x14ac:dyDescent="0.25">
      <c r="B265" s="34"/>
      <c r="C265" s="32"/>
      <c r="D265" s="32"/>
      <c r="E265" s="32"/>
      <c r="F265" s="298" t="s">
        <v>115</v>
      </c>
      <c r="G265" s="67">
        <f>SUM(G256:G264)</f>
        <v>28259.97</v>
      </c>
      <c r="H265" s="51"/>
      <c r="I265" s="51"/>
      <c r="J265" s="51"/>
      <c r="K265" s="51"/>
    </row>
  </sheetData>
  <mergeCells count="34">
    <mergeCell ref="B176:F176"/>
    <mergeCell ref="J108:P108"/>
    <mergeCell ref="J121:L121"/>
    <mergeCell ref="J134:L134"/>
    <mergeCell ref="J147:L147"/>
    <mergeCell ref="B162:F162"/>
    <mergeCell ref="B163:F163"/>
    <mergeCell ref="M57:P57"/>
    <mergeCell ref="B104:S104"/>
    <mergeCell ref="F106:I106"/>
    <mergeCell ref="J106:Q106"/>
    <mergeCell ref="R106:S106"/>
    <mergeCell ref="B107:E107"/>
    <mergeCell ref="J107:Q107"/>
    <mergeCell ref="R107:S107"/>
    <mergeCell ref="B53:S53"/>
    <mergeCell ref="C55:I55"/>
    <mergeCell ref="J55:Q55"/>
    <mergeCell ref="R55:S55"/>
    <mergeCell ref="C56:D56"/>
    <mergeCell ref="M56:Q56"/>
    <mergeCell ref="R56:S56"/>
    <mergeCell ref="D19:G19"/>
    <mergeCell ref="I19:L19"/>
    <mergeCell ref="M19:N19"/>
    <mergeCell ref="D20:F20"/>
    <mergeCell ref="A36:E36"/>
    <mergeCell ref="B52:S52"/>
    <mergeCell ref="G4:J4"/>
    <mergeCell ref="L4:M4"/>
    <mergeCell ref="N4:R4"/>
    <mergeCell ref="P5:R5"/>
    <mergeCell ref="F11:G11"/>
    <mergeCell ref="F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spawn2death@mail.ru</dc:creator>
  <cp:lastModifiedBy>spawn2death@mail.ru</cp:lastModifiedBy>
  <dcterms:created xsi:type="dcterms:W3CDTF">2015-02-11T01:43:06Z</dcterms:created>
  <dcterms:modified xsi:type="dcterms:W3CDTF">2015-02-11T01:43:34Z</dcterms:modified>
</cp:coreProperties>
</file>