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28380" windowHeight="11955"/>
  </bookViews>
  <sheets>
    <sheet name="Шевченко,1Ж" sheetId="1" r:id="rId1"/>
  </sheets>
  <externalReferences>
    <externalReference r:id="rId2"/>
  </externalReferences>
  <definedNames>
    <definedName name="_xlnm.Print_Area" localSheetId="0">'Шевченко,1Ж'!$A$1:$R$93</definedName>
  </definedNames>
  <calcPr calcId="125725" iterate="1" iterateCount="10"/>
</workbook>
</file>

<file path=xl/calcChain.xml><?xml version="1.0" encoding="utf-8"?>
<calcChain xmlns="http://schemas.openxmlformats.org/spreadsheetml/2006/main">
  <c r="N9" i="1"/>
  <c r="P9"/>
  <c r="Q9"/>
  <c r="R9"/>
  <c r="O9" s="1"/>
  <c r="A36" s="1"/>
  <c r="A38" s="1"/>
  <c r="S9"/>
  <c r="E24"/>
  <c r="F24" s="1"/>
  <c r="F26" s="1"/>
  <c r="C78" s="1"/>
  <c r="N24"/>
  <c r="F25"/>
  <c r="C26"/>
  <c r="J26" s="1"/>
  <c r="K26" s="1"/>
  <c r="I26"/>
  <c r="C34"/>
  <c r="B36"/>
  <c r="F36"/>
  <c r="G36"/>
  <c r="B38"/>
  <c r="C38"/>
  <c r="D38"/>
  <c r="E38"/>
  <c r="B41"/>
  <c r="C41"/>
  <c r="D41"/>
  <c r="E41"/>
  <c r="F41"/>
  <c r="G41"/>
  <c r="H41"/>
  <c r="I41"/>
  <c r="J41"/>
  <c r="K41"/>
  <c r="L41"/>
  <c r="M41"/>
  <c r="N41"/>
  <c r="O41"/>
  <c r="P41"/>
  <c r="J49"/>
  <c r="C52"/>
  <c r="H52"/>
  <c r="L52"/>
  <c r="N53"/>
  <c r="D54"/>
  <c r="F54"/>
  <c r="H54"/>
  <c r="J54"/>
  <c r="L54"/>
  <c r="N54"/>
  <c r="F55"/>
  <c r="H55"/>
  <c r="N55" s="1"/>
  <c r="O55"/>
  <c r="F56"/>
  <c r="H56"/>
  <c r="K56" s="1"/>
  <c r="N56"/>
  <c r="F57"/>
  <c r="H57"/>
  <c r="K57" s="1"/>
  <c r="N57"/>
  <c r="F58"/>
  <c r="H58"/>
  <c r="K58" s="1"/>
  <c r="N58" s="1"/>
  <c r="H60"/>
  <c r="C63"/>
  <c r="F63"/>
  <c r="H63"/>
  <c r="L63" s="1"/>
  <c r="H65"/>
  <c r="M65" s="1"/>
  <c r="N65" s="1"/>
  <c r="H67"/>
  <c r="N67" s="1"/>
  <c r="D78"/>
  <c r="H78" s="1"/>
  <c r="D79"/>
  <c r="D82" s="1"/>
  <c r="F79"/>
  <c r="G79"/>
  <c r="D80"/>
  <c r="F80"/>
  <c r="G80"/>
  <c r="Q80"/>
  <c r="F82"/>
  <c r="G82"/>
  <c r="F83"/>
  <c r="G83"/>
  <c r="Q83"/>
  <c r="D84"/>
  <c r="H84" s="1"/>
  <c r="F85"/>
  <c r="G85"/>
  <c r="F86"/>
  <c r="G86"/>
  <c r="Q86"/>
  <c r="F88"/>
  <c r="G88"/>
  <c r="F89"/>
  <c r="G89"/>
  <c r="Q89"/>
  <c r="D90"/>
  <c r="H90" s="1"/>
  <c r="F91"/>
  <c r="G91"/>
  <c r="F92"/>
  <c r="G92"/>
  <c r="Q92"/>
  <c r="F94"/>
  <c r="G94"/>
  <c r="F95"/>
  <c r="G95"/>
  <c r="Q95"/>
  <c r="D96"/>
  <c r="H96" s="1"/>
  <c r="F97"/>
  <c r="G97"/>
  <c r="F98"/>
  <c r="G98"/>
  <c r="Q98"/>
  <c r="F100"/>
  <c r="G100"/>
  <c r="F101"/>
  <c r="G101"/>
  <c r="Q101"/>
  <c r="D102"/>
  <c r="H102" s="1"/>
  <c r="F103"/>
  <c r="G103"/>
  <c r="F104"/>
  <c r="G104"/>
  <c r="G105"/>
  <c r="G106" s="1"/>
  <c r="F106"/>
  <c r="F107"/>
  <c r="Q107"/>
  <c r="D108"/>
  <c r="G108"/>
  <c r="H108"/>
  <c r="H109" s="1"/>
  <c r="F109"/>
  <c r="G109"/>
  <c r="F110"/>
  <c r="G110"/>
  <c r="Q110"/>
  <c r="D111"/>
  <c r="H111" s="1"/>
  <c r="G111"/>
  <c r="F112"/>
  <c r="G112"/>
  <c r="F113"/>
  <c r="G113"/>
  <c r="Q113"/>
  <c r="F114"/>
  <c r="F116"/>
  <c r="F124"/>
  <c r="G124"/>
  <c r="H124"/>
  <c r="I124" s="1"/>
  <c r="I127" s="1"/>
  <c r="F125"/>
  <c r="G125"/>
  <c r="H125"/>
  <c r="I125" s="1"/>
  <c r="F126"/>
  <c r="G126"/>
  <c r="H126"/>
  <c r="I126" s="1"/>
  <c r="F127"/>
  <c r="F141" s="1"/>
  <c r="F155" s="1"/>
  <c r="G127"/>
  <c r="H127"/>
  <c r="H141" s="1"/>
  <c r="H155" s="1"/>
  <c r="Q127"/>
  <c r="Q141" s="1"/>
  <c r="Q155" s="1"/>
  <c r="S127"/>
  <c r="I129"/>
  <c r="I140" s="1"/>
  <c r="R140" s="1"/>
  <c r="I130"/>
  <c r="I131"/>
  <c r="I132"/>
  <c r="I133"/>
  <c r="I134"/>
  <c r="I135"/>
  <c r="I136"/>
  <c r="I137"/>
  <c r="I138"/>
  <c r="I139"/>
  <c r="F140"/>
  <c r="G140"/>
  <c r="S140" s="1"/>
  <c r="H140"/>
  <c r="Q140"/>
  <c r="G141"/>
  <c r="G155" s="1"/>
  <c r="I142"/>
  <c r="I143"/>
  <c r="I144"/>
  <c r="I154" s="1"/>
  <c r="R154" s="1"/>
  <c r="I145"/>
  <c r="I146"/>
  <c r="I147"/>
  <c r="I148"/>
  <c r="I149"/>
  <c r="I150"/>
  <c r="I151"/>
  <c r="I152"/>
  <c r="I153"/>
  <c r="F154"/>
  <c r="G154"/>
  <c r="H154"/>
  <c r="Q154"/>
  <c r="S154"/>
  <c r="J161"/>
  <c r="J167"/>
  <c r="J173"/>
  <c r="J180"/>
  <c r="J186"/>
  <c r="H190"/>
  <c r="Q104" s="1"/>
  <c r="Q114" s="1"/>
  <c r="H112" l="1"/>
  <c r="I112" s="1"/>
  <c r="I111"/>
  <c r="I96"/>
  <c r="H97"/>
  <c r="I97" s="1"/>
  <c r="N30"/>
  <c r="O26"/>
  <c r="M30"/>
  <c r="K29"/>
  <c r="O30"/>
  <c r="G115"/>
  <c r="I90"/>
  <c r="H91"/>
  <c r="I91" s="1"/>
  <c r="I78"/>
  <c r="H79"/>
  <c r="H61"/>
  <c r="N59"/>
  <c r="C79"/>
  <c r="C84"/>
  <c r="C90"/>
  <c r="C96"/>
  <c r="C102"/>
  <c r="C111"/>
  <c r="E78"/>
  <c r="C81"/>
  <c r="C87"/>
  <c r="C93"/>
  <c r="C99"/>
  <c r="C105"/>
  <c r="C108"/>
  <c r="I110"/>
  <c r="J108" s="1"/>
  <c r="I84"/>
  <c r="H85"/>
  <c r="I85" s="1"/>
  <c r="D85"/>
  <c r="S141"/>
  <c r="S155" s="1"/>
  <c r="R127"/>
  <c r="R141" s="1"/>
  <c r="R155" s="1"/>
  <c r="I141"/>
  <c r="I155" s="1"/>
  <c r="I102"/>
  <c r="H103"/>
  <c r="I103" s="1"/>
  <c r="Q38"/>
  <c r="A41"/>
  <c r="Q41" s="1"/>
  <c r="I109"/>
  <c r="N68"/>
  <c r="I108"/>
  <c r="L67"/>
  <c r="K65"/>
  <c r="N26"/>
  <c r="P24" s="1"/>
  <c r="F115"/>
  <c r="G114"/>
  <c r="H110"/>
  <c r="G107"/>
  <c r="D105"/>
  <c r="D99"/>
  <c r="D93"/>
  <c r="D81"/>
  <c r="K55"/>
  <c r="H99" l="1"/>
  <c r="K81"/>
  <c r="K87"/>
  <c r="K93"/>
  <c r="K78"/>
  <c r="K84"/>
  <c r="K90"/>
  <c r="K96"/>
  <c r="K99" s="1"/>
  <c r="K102" s="1"/>
  <c r="K105" s="1"/>
  <c r="K108" s="1"/>
  <c r="K111" s="1"/>
  <c r="E99"/>
  <c r="E81"/>
  <c r="E80"/>
  <c r="E84"/>
  <c r="E90"/>
  <c r="E96"/>
  <c r="E79"/>
  <c r="C82"/>
  <c r="I79"/>
  <c r="L108"/>
  <c r="R110" s="1"/>
  <c r="H93"/>
  <c r="E105"/>
  <c r="E102"/>
  <c r="H86"/>
  <c r="C83"/>
  <c r="C80"/>
  <c r="H80"/>
  <c r="H92"/>
  <c r="H98"/>
  <c r="H113"/>
  <c r="D83"/>
  <c r="D87"/>
  <c r="D114" s="1"/>
  <c r="H81"/>
  <c r="G116"/>
  <c r="D88"/>
  <c r="D91" s="1"/>
  <c r="D86"/>
  <c r="E108"/>
  <c r="E111"/>
  <c r="H105"/>
  <c r="E93"/>
  <c r="P25"/>
  <c r="P26"/>
  <c r="Q26" s="1"/>
  <c r="R38"/>
  <c r="R41" s="1"/>
  <c r="S41" s="1"/>
  <c r="H104"/>
  <c r="C114"/>
  <c r="N69"/>
  <c r="H106" l="1"/>
  <c r="I106" s="1"/>
  <c r="I105"/>
  <c r="L79"/>
  <c r="I80"/>
  <c r="E87"/>
  <c r="L91"/>
  <c r="S92" s="1"/>
  <c r="I92"/>
  <c r="J90" s="1"/>
  <c r="L90" s="1"/>
  <c r="R92" s="1"/>
  <c r="L85"/>
  <c r="S86" s="1"/>
  <c r="I86"/>
  <c r="J84" s="1"/>
  <c r="L84" s="1"/>
  <c r="R86" s="1"/>
  <c r="E82"/>
  <c r="E83" s="1"/>
  <c r="C85"/>
  <c r="H100"/>
  <c r="I100" s="1"/>
  <c r="I99"/>
  <c r="S38"/>
  <c r="N71"/>
  <c r="N70"/>
  <c r="L103"/>
  <c r="S104" s="1"/>
  <c r="I104"/>
  <c r="J102" s="1"/>
  <c r="L102" s="1"/>
  <c r="R104" s="1"/>
  <c r="D94"/>
  <c r="D92"/>
  <c r="D89"/>
  <c r="H87"/>
  <c r="L97"/>
  <c r="S98" s="1"/>
  <c r="I98"/>
  <c r="J96" s="1"/>
  <c r="L96" s="1"/>
  <c r="R98" s="1"/>
  <c r="H94"/>
  <c r="I94" s="1"/>
  <c r="I93"/>
  <c r="K114"/>
  <c r="H82"/>
  <c r="I81"/>
  <c r="H114"/>
  <c r="I113"/>
  <c r="J111" s="1"/>
  <c r="L111" s="1"/>
  <c r="R113" s="1"/>
  <c r="L112"/>
  <c r="S113" s="1"/>
  <c r="L109"/>
  <c r="S110" s="1"/>
  <c r="I82" l="1"/>
  <c r="D97"/>
  <c r="D95"/>
  <c r="J78"/>
  <c r="H83"/>
  <c r="H101"/>
  <c r="H107"/>
  <c r="I114"/>
  <c r="H88"/>
  <c r="I88" s="1"/>
  <c r="I87"/>
  <c r="E85"/>
  <c r="E86" s="1"/>
  <c r="C88"/>
  <c r="C86"/>
  <c r="E114"/>
  <c r="S80"/>
  <c r="H95"/>
  <c r="L82" l="1"/>
  <c r="I83"/>
  <c r="H116"/>
  <c r="L116" s="1"/>
  <c r="D100"/>
  <c r="D98"/>
  <c r="E88"/>
  <c r="E89" s="1"/>
  <c r="C91"/>
  <c r="C89"/>
  <c r="L100"/>
  <c r="S101" s="1"/>
  <c r="I101"/>
  <c r="J99" s="1"/>
  <c r="L99" s="1"/>
  <c r="R101" s="1"/>
  <c r="H89"/>
  <c r="I115"/>
  <c r="L94"/>
  <c r="S95" s="1"/>
  <c r="I95"/>
  <c r="J93" s="1"/>
  <c r="L93" s="1"/>
  <c r="R95" s="1"/>
  <c r="I107"/>
  <c r="J105" s="1"/>
  <c r="L105" s="1"/>
  <c r="R107" s="1"/>
  <c r="L106"/>
  <c r="S107" s="1"/>
  <c r="L78"/>
  <c r="H115"/>
  <c r="E91" l="1"/>
  <c r="C94"/>
  <c r="C92"/>
  <c r="D103"/>
  <c r="D101"/>
  <c r="R80"/>
  <c r="S83"/>
  <c r="S114" s="1"/>
  <c r="S115" s="1"/>
  <c r="L115"/>
  <c r="S116" s="1"/>
  <c r="L88"/>
  <c r="S89" s="1"/>
  <c r="I89"/>
  <c r="J87" s="1"/>
  <c r="L87" s="1"/>
  <c r="R89" s="1"/>
  <c r="J81"/>
  <c r="I116"/>
  <c r="L81" l="1"/>
  <c r="J114"/>
  <c r="D106"/>
  <c r="D104"/>
  <c r="E92"/>
  <c r="E94"/>
  <c r="E95" s="1"/>
  <c r="C97"/>
  <c r="C95"/>
  <c r="R83" l="1"/>
  <c r="R114" s="1"/>
  <c r="R115" s="1"/>
  <c r="L114"/>
  <c r="D109"/>
  <c r="D107"/>
  <c r="E97"/>
  <c r="C100"/>
  <c r="C98"/>
  <c r="E100" l="1"/>
  <c r="E101" s="1"/>
  <c r="C103"/>
  <c r="C101"/>
  <c r="D112"/>
  <c r="D113" s="1"/>
  <c r="D116" s="1"/>
  <c r="D110"/>
  <c r="D115"/>
  <c r="E98"/>
  <c r="C106" l="1"/>
  <c r="E103"/>
  <c r="C104"/>
  <c r="C109" l="1"/>
  <c r="E106"/>
  <c r="E107" s="1"/>
  <c r="C107"/>
  <c r="E104"/>
  <c r="E109" l="1"/>
  <c r="C112"/>
  <c r="C110"/>
  <c r="C115"/>
  <c r="E110" l="1"/>
  <c r="E116" s="1"/>
  <c r="E115"/>
  <c r="E112"/>
  <c r="E113" s="1"/>
  <c r="C113"/>
  <c r="C116"/>
</calcChain>
</file>

<file path=xl/sharedStrings.xml><?xml version="1.0" encoding="utf-8"?>
<sst xmlns="http://schemas.openxmlformats.org/spreadsheetml/2006/main" count="447" uniqueCount="277">
  <si>
    <t>Итого:</t>
  </si>
  <si>
    <t>развоздушивание стояков со-2ст.</t>
  </si>
  <si>
    <t>сентябрь</t>
  </si>
  <si>
    <t>1конт.</t>
  </si>
  <si>
    <t>Подключ.,отключ.переноски для работы слесарей</t>
  </si>
  <si>
    <t>чество</t>
  </si>
  <si>
    <t>измерен.</t>
  </si>
  <si>
    <t>п/п</t>
  </si>
  <si>
    <t>Сумма</t>
  </si>
  <si>
    <t>Коли-</t>
  </si>
  <si>
    <t>Ед.</t>
  </si>
  <si>
    <t>Наименование работ</t>
  </si>
  <si>
    <t>№</t>
  </si>
  <si>
    <t>июль</t>
  </si>
  <si>
    <t>Подключение,отключ.переноски для работы компрессора</t>
  </si>
  <si>
    <t>м3</t>
  </si>
  <si>
    <t>Промывка системы отопления</t>
  </si>
  <si>
    <t>июнь</t>
  </si>
  <si>
    <t>м</t>
  </si>
  <si>
    <t>Гидравлическое испытание тепловых сетей (ввод)</t>
  </si>
  <si>
    <t>май</t>
  </si>
  <si>
    <t>час</t>
  </si>
  <si>
    <t>Обследование системы теплоснабжения с" К-Э" согласно графика</t>
  </si>
  <si>
    <t>апрель</t>
  </si>
  <si>
    <t>м2</t>
  </si>
  <si>
    <t>Осмотр систем отопл. И ГВС предст.теплоснабж.организаций</t>
  </si>
  <si>
    <t>февраль</t>
  </si>
  <si>
    <t>всего:</t>
  </si>
  <si>
    <t>итого:</t>
  </si>
  <si>
    <t>декабрь</t>
  </si>
  <si>
    <t>ноябрь</t>
  </si>
  <si>
    <t>октябрь</t>
  </si>
  <si>
    <t>август</t>
  </si>
  <si>
    <t>март</t>
  </si>
  <si>
    <t>2011г.</t>
  </si>
  <si>
    <t>январь</t>
  </si>
  <si>
    <t>январь, февраль</t>
  </si>
  <si>
    <t>2010г.</t>
  </si>
  <si>
    <t xml:space="preserve">             декабрь</t>
  </si>
  <si>
    <t xml:space="preserve">2009г.  июль - ноябрь </t>
  </si>
  <si>
    <t>с августа 2008г.  по июнь 2009г.</t>
  </si>
  <si>
    <t>от оплаты</t>
  </si>
  <si>
    <t>от начисл.</t>
  </si>
  <si>
    <t>сумма</t>
  </si>
  <si>
    <t>вид работ</t>
  </si>
  <si>
    <t>факт</t>
  </si>
  <si>
    <t>перерасх.-</t>
  </si>
  <si>
    <t>Выполнено кап. ремонт</t>
  </si>
  <si>
    <t>ИТОГО:</t>
  </si>
  <si>
    <t>дотация</t>
  </si>
  <si>
    <t>оплата</t>
  </si>
  <si>
    <t>начис.</t>
  </si>
  <si>
    <t>КАПИТАЛЬНЫЙ РЕМОНТ</t>
  </si>
  <si>
    <t>остаток+</t>
  </si>
  <si>
    <t xml:space="preserve">РАСХОДЫ  </t>
  </si>
  <si>
    <t>ДОХОДЫ (без НДС)</t>
  </si>
  <si>
    <t>ЖЭУ</t>
  </si>
  <si>
    <t>Итого: с 2010г</t>
  </si>
  <si>
    <t xml:space="preserve"> - оплачено</t>
  </si>
  <si>
    <t>в т.ч.       АУК</t>
  </si>
  <si>
    <t>Электромонтажные работы</t>
  </si>
  <si>
    <t>Сантехнические работы</t>
  </si>
  <si>
    <t xml:space="preserve">март </t>
  </si>
  <si>
    <t>2009г.-2010г.</t>
  </si>
  <si>
    <t>на т.рем.</t>
  </si>
  <si>
    <t>затраты</t>
  </si>
  <si>
    <t>начисл.</t>
  </si>
  <si>
    <t>дотац.</t>
  </si>
  <si>
    <t>населен.</t>
  </si>
  <si>
    <t>Выполнено т. ремонт</t>
  </si>
  <si>
    <t>средства</t>
  </si>
  <si>
    <t>Постоян.</t>
  </si>
  <si>
    <t>Всего</t>
  </si>
  <si>
    <t>ИТОГО</t>
  </si>
  <si>
    <t>план без  НДС</t>
  </si>
  <si>
    <t>РАСХОДЫ ПО ЖЭУ (без НДС)</t>
  </si>
  <si>
    <t>Рентабельность 5%</t>
  </si>
  <si>
    <t>Всего:</t>
  </si>
  <si>
    <t xml:space="preserve"> *1,18 =</t>
  </si>
  <si>
    <t>руб     *</t>
  </si>
  <si>
    <t xml:space="preserve"> *1,2=</t>
  </si>
  <si>
    <t>системы</t>
  </si>
  <si>
    <t>Внутр. диам. ~41,50,69,81 средний  -5,153</t>
  </si>
  <si>
    <t>разовое заполнение</t>
  </si>
  <si>
    <t xml:space="preserve">час   =  </t>
  </si>
  <si>
    <t>5,7л   *</t>
  </si>
  <si>
    <t>час/100м*L тр/пр со,м *20% =</t>
  </si>
  <si>
    <t>опрессовка:</t>
  </si>
  <si>
    <t>таб.4.1</t>
  </si>
  <si>
    <t>объём  воды  в,куб.м /км</t>
  </si>
  <si>
    <t>Внутр. диаметр</t>
  </si>
  <si>
    <t>л/час</t>
  </si>
  <si>
    <t>расход горючего:</t>
  </si>
  <si>
    <t>работа компрессора:</t>
  </si>
  <si>
    <t>39,40.</t>
  </si>
  <si>
    <t xml:space="preserve"> =</t>
  </si>
  <si>
    <t xml:space="preserve"> *</t>
  </si>
  <si>
    <t>ч/час</t>
  </si>
  <si>
    <t>*1,45 =</t>
  </si>
  <si>
    <t>7,82ч/ч/100м *</t>
  </si>
  <si>
    <t>испытание  т/провода</t>
  </si>
  <si>
    <t>37,38,</t>
  </si>
  <si>
    <t>метров</t>
  </si>
  <si>
    <t>Подгот.  к от.сезону</t>
  </si>
  <si>
    <t>2.2.2.1</t>
  </si>
  <si>
    <t>материалов</t>
  </si>
  <si>
    <t>в том  числе: на 1м2 Ч/час</t>
  </si>
  <si>
    <t xml:space="preserve">       =</t>
  </si>
  <si>
    <t xml:space="preserve"> *1,18</t>
  </si>
  <si>
    <t>рад.  =</t>
  </si>
  <si>
    <t>0,08м3*</t>
  </si>
  <si>
    <t>вода:</t>
  </si>
  <si>
    <t>0,024кг*</t>
  </si>
  <si>
    <t>сурик свинц.</t>
  </si>
  <si>
    <t>стр.6.16,17)</t>
  </si>
  <si>
    <t>0,012кг*</t>
  </si>
  <si>
    <t>олифа нат.</t>
  </si>
  <si>
    <t>(№133-цены апр.2008г</t>
  </si>
  <si>
    <t>кол-во комнат на этаже</t>
  </si>
  <si>
    <t xml:space="preserve">0,012кг*  </t>
  </si>
  <si>
    <t>лен трепаный</t>
  </si>
  <si>
    <t>Материалы:</t>
  </si>
  <si>
    <t xml:space="preserve"> = кол-во комнат</t>
  </si>
  <si>
    <t xml:space="preserve"> +  (1+1) *</t>
  </si>
  <si>
    <t xml:space="preserve"> +  (2+1) *</t>
  </si>
  <si>
    <t xml:space="preserve"> +  (3+1) *</t>
  </si>
  <si>
    <t xml:space="preserve"> +  (4+1) *</t>
  </si>
  <si>
    <t>(5+1)  *</t>
  </si>
  <si>
    <t>кол-во  радиаторов:</t>
  </si>
  <si>
    <t>1-х ком.-</t>
  </si>
  <si>
    <t>2-х ком.-</t>
  </si>
  <si>
    <t>3-х ком.-</t>
  </si>
  <si>
    <t>4-х ком.-</t>
  </si>
  <si>
    <t>5-ти ком.</t>
  </si>
  <si>
    <t>к-во квартир</t>
  </si>
  <si>
    <t>*</t>
  </si>
  <si>
    <t>1,42ч/час/100м*L ,м*1,45 =</t>
  </si>
  <si>
    <t>отопления,</t>
  </si>
  <si>
    <t>консервация сист.</t>
  </si>
  <si>
    <t>2.2.1.12</t>
  </si>
  <si>
    <t>на консервацию  и  подготовку отоп. системы к  отопит. сезону.</t>
  </si>
  <si>
    <t xml:space="preserve">Калькуляция на  жилой  дом  по </t>
  </si>
  <si>
    <t xml:space="preserve">затраты на 1 м2 </t>
  </si>
  <si>
    <t>см. кальк.</t>
  </si>
  <si>
    <t>Р и об.эл.п</t>
  </si>
  <si>
    <t>(т.н.3.7.5)</t>
  </si>
  <si>
    <t>(т.н.3.7.2)</t>
  </si>
  <si>
    <t>(т.н.3.7.1)</t>
  </si>
  <si>
    <t>(2.2.1.3.7)</t>
  </si>
  <si>
    <t>14,15)</t>
  </si>
  <si>
    <t>(2.2.1.2.23)</t>
  </si>
  <si>
    <t>1эл.п.)</t>
  </si>
  <si>
    <t>1000м2)</t>
  </si>
  <si>
    <t>100м3)</t>
  </si>
  <si>
    <t>1000м)</t>
  </si>
  <si>
    <t>100л.пл)</t>
  </si>
  <si>
    <t>(2.2.1.1</t>
  </si>
  <si>
    <t>100кв.)</t>
  </si>
  <si>
    <t>ние</t>
  </si>
  <si>
    <t>рем.</t>
  </si>
  <si>
    <t>колодц.</t>
  </si>
  <si>
    <t>к от.сез.</t>
  </si>
  <si>
    <t>(0,7ч/ч/</t>
  </si>
  <si>
    <r>
      <t>(</t>
    </r>
    <r>
      <rPr>
        <sz val="10"/>
        <rFont val="Arial"/>
        <family val="2"/>
        <charset val="204"/>
      </rPr>
      <t>3,5/</t>
    </r>
  </si>
  <si>
    <t>(0,24/</t>
  </si>
  <si>
    <t>(2,8/</t>
  </si>
  <si>
    <t>(9ч/ч/</t>
  </si>
  <si>
    <t>(60ч/час/</t>
  </si>
  <si>
    <t>мые</t>
  </si>
  <si>
    <t>жива-</t>
  </si>
  <si>
    <t>кобр</t>
  </si>
  <si>
    <t>л.кл.</t>
  </si>
  <si>
    <t>тек.</t>
  </si>
  <si>
    <t>итого</t>
  </si>
  <si>
    <t>канал.</t>
  </si>
  <si>
    <t xml:space="preserve"> и подг. </t>
  </si>
  <si>
    <t>печи</t>
  </si>
  <si>
    <t>констр.</t>
  </si>
  <si>
    <t>конст.кр.</t>
  </si>
  <si>
    <t>сети</t>
  </si>
  <si>
    <t>отоплен.</t>
  </si>
  <si>
    <t>канализ.</t>
  </si>
  <si>
    <t>насеко-</t>
  </si>
  <si>
    <t>зация</t>
  </si>
  <si>
    <t>обслу-</t>
  </si>
  <si>
    <t>руб.</t>
  </si>
  <si>
    <t>уборщиц л.кл.</t>
  </si>
  <si>
    <t xml:space="preserve"> дворн.</t>
  </si>
  <si>
    <t>выпол.</t>
  </si>
  <si>
    <t>чистка</t>
  </si>
  <si>
    <t>консер.</t>
  </si>
  <si>
    <t>элект.</t>
  </si>
  <si>
    <t>камен.</t>
  </si>
  <si>
    <t>дерев.</t>
  </si>
  <si>
    <t>кровля</t>
  </si>
  <si>
    <t>система</t>
  </si>
  <si>
    <t>гвс,хвс.</t>
  </si>
  <si>
    <t>бытов.</t>
  </si>
  <si>
    <t>дерати-</t>
  </si>
  <si>
    <t>авар.</t>
  </si>
  <si>
    <t>эл.энерг.</t>
  </si>
  <si>
    <t>содержание</t>
  </si>
  <si>
    <t>содерж.</t>
  </si>
  <si>
    <t>технический осмотр 2 раза в год</t>
  </si>
  <si>
    <t>постоянные затраты,  руб/мес.</t>
  </si>
  <si>
    <t>руб/м2</t>
  </si>
  <si>
    <t>руб/год</t>
  </si>
  <si>
    <t>сверх нормы</t>
  </si>
  <si>
    <t>руб/мес.</t>
  </si>
  <si>
    <t>по норме</t>
  </si>
  <si>
    <t>руб/мес</t>
  </si>
  <si>
    <t>без НДС</t>
  </si>
  <si>
    <t>с НДС</t>
  </si>
  <si>
    <t>пл.начис.</t>
  </si>
  <si>
    <t>АУК</t>
  </si>
  <si>
    <t>НДС</t>
  </si>
  <si>
    <t>S, м2</t>
  </si>
  <si>
    <t>тариф</t>
  </si>
  <si>
    <t xml:space="preserve">план. </t>
  </si>
  <si>
    <t>тариф (с НДС)</t>
  </si>
  <si>
    <t>Площадь,м2</t>
  </si>
  <si>
    <t>ООО</t>
  </si>
  <si>
    <t>затраты на содер.дома, руб.</t>
  </si>
  <si>
    <t>дота-</t>
  </si>
  <si>
    <t>начисл.содер.мест общего пользов.</t>
  </si>
  <si>
    <t>II. РАСЧЁТ НАЧИСЛЕНИЙ И ЗАТРАТ</t>
  </si>
  <si>
    <t xml:space="preserve">тиры </t>
  </si>
  <si>
    <t>квартал</t>
  </si>
  <si>
    <t>шт.</t>
  </si>
  <si>
    <t>квар-</t>
  </si>
  <si>
    <t>внутри-</t>
  </si>
  <si>
    <t>выпуск</t>
  </si>
  <si>
    <t>дов</t>
  </si>
  <si>
    <t>мунал.</t>
  </si>
  <si>
    <t>колодцев</t>
  </si>
  <si>
    <t>с/о</t>
  </si>
  <si>
    <t>подъез</t>
  </si>
  <si>
    <t xml:space="preserve">№ ко- </t>
  </si>
  <si>
    <t>к-во канализац.</t>
  </si>
  <si>
    <t>тр/пр</t>
  </si>
  <si>
    <t>кол-во</t>
  </si>
  <si>
    <t>норматив  численности</t>
  </si>
  <si>
    <t>шиф</t>
  </si>
  <si>
    <t>кирп</t>
  </si>
  <si>
    <t>ул.Шевченко 1ж</t>
  </si>
  <si>
    <t>газон</t>
  </si>
  <si>
    <t>грунт</t>
  </si>
  <si>
    <t>асф.дв.</t>
  </si>
  <si>
    <t>асф.ул.</t>
  </si>
  <si>
    <t>вая</t>
  </si>
  <si>
    <t>л/кл.</t>
  </si>
  <si>
    <t>инв</t>
  </si>
  <si>
    <t>жилая</t>
  </si>
  <si>
    <t>стен</t>
  </si>
  <si>
    <t>в том числе</t>
  </si>
  <si>
    <t>дворо-</t>
  </si>
  <si>
    <t>S,м2</t>
  </si>
  <si>
    <t>матер.</t>
  </si>
  <si>
    <t>год</t>
  </si>
  <si>
    <t>не-</t>
  </si>
  <si>
    <t>общая</t>
  </si>
  <si>
    <t>здания</t>
  </si>
  <si>
    <t>риал</t>
  </si>
  <si>
    <t>кв.-р</t>
  </si>
  <si>
    <t>адрес</t>
  </si>
  <si>
    <t xml:space="preserve">Убороч. площадь.м2 </t>
  </si>
  <si>
    <t>Кровля</t>
  </si>
  <si>
    <t>площадь</t>
  </si>
  <si>
    <t>объём</t>
  </si>
  <si>
    <t>мате-</t>
  </si>
  <si>
    <t>эт.</t>
  </si>
  <si>
    <t>к-во</t>
  </si>
  <si>
    <t>отоплением, гор. в/сн.; хол. в/сн; канализ.;эл. печами</t>
  </si>
  <si>
    <t>оборудован:</t>
  </si>
  <si>
    <t xml:space="preserve">ЖДПонК </t>
  </si>
  <si>
    <t xml:space="preserve"> 10 ,04</t>
  </si>
  <si>
    <t>I. ТЕХНИЧЕСКАЯ ХАРАКТЕРИСТИКА ДОМА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</si>
</sst>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2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color indexed="57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41"/>
      <name val="Arial"/>
      <family val="2"/>
      <charset val="204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0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1" fontId="2" fillId="0" borderId="2" xfId="0" applyNumberFormat="1" applyFont="1" applyBorder="1"/>
    <xf numFmtId="1" fontId="0" fillId="0" borderId="2" xfId="0" applyNumberFormat="1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3" fillId="0" borderId="4" xfId="0" applyFont="1" applyBorder="1"/>
    <xf numFmtId="1" fontId="3" fillId="0" borderId="5" xfId="0" applyNumberFormat="1" applyFont="1" applyBorder="1"/>
    <xf numFmtId="0" fontId="2" fillId="0" borderId="5" xfId="0" applyFont="1" applyBorder="1"/>
    <xf numFmtId="1" fontId="4" fillId="0" borderId="5" xfId="0" applyNumberFormat="1" applyFont="1" applyBorder="1"/>
    <xf numFmtId="0" fontId="0" fillId="0" borderId="6" xfId="0" applyBorder="1"/>
    <xf numFmtId="0" fontId="1" fillId="0" borderId="0" xfId="0" applyFont="1"/>
    <xf numFmtId="1" fontId="1" fillId="0" borderId="7" xfId="0" applyNumberFormat="1" applyFont="1" applyFill="1" applyBorder="1" applyAlignment="1">
      <alignment horizontal="center"/>
    </xf>
    <xf numFmtId="1" fontId="0" fillId="0" borderId="8" xfId="0" applyNumberFormat="1" applyFill="1" applyBorder="1"/>
    <xf numFmtId="1" fontId="0" fillId="0" borderId="7" xfId="0" applyNumberFormat="1" applyFill="1" applyBorder="1"/>
    <xf numFmtId="1" fontId="1" fillId="0" borderId="8" xfId="0" applyNumberFormat="1" applyFont="1" applyFill="1" applyBorder="1"/>
    <xf numFmtId="1" fontId="2" fillId="0" borderId="8" xfId="0" applyNumberFormat="1" applyFont="1" applyFill="1" applyBorder="1"/>
    <xf numFmtId="0" fontId="0" fillId="0" borderId="8" xfId="0" applyFill="1" applyBorder="1" applyAlignment="1">
      <alignment horizontal="left"/>
    </xf>
    <xf numFmtId="0" fontId="0" fillId="0" borderId="7" xfId="0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10" xfId="0" applyFont="1" applyFill="1" applyBorder="1"/>
    <xf numFmtId="1" fontId="5" fillId="0" borderId="10" xfId="0" applyNumberFormat="1" applyFont="1" applyFill="1" applyBorder="1"/>
    <xf numFmtId="0" fontId="2" fillId="0" borderId="10" xfId="0" applyFont="1" applyFill="1" applyBorder="1"/>
    <xf numFmtId="1" fontId="4" fillId="0" borderId="10" xfId="0" applyNumberFormat="1" applyFont="1" applyFill="1" applyBorder="1"/>
    <xf numFmtId="0" fontId="4" fillId="0" borderId="10" xfId="0" applyFont="1" applyFill="1" applyBorder="1"/>
    <xf numFmtId="0" fontId="0" fillId="0" borderId="9" xfId="0" applyBorder="1"/>
    <xf numFmtId="0" fontId="0" fillId="0" borderId="9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" fontId="1" fillId="2" borderId="7" xfId="0" applyNumberFormat="1" applyFont="1" applyFill="1" applyBorder="1"/>
    <xf numFmtId="1" fontId="6" fillId="0" borderId="17" xfId="0" applyNumberFormat="1" applyFont="1" applyBorder="1"/>
    <xf numFmtId="1" fontId="7" fillId="0" borderId="18" xfId="0" applyNumberFormat="1" applyFont="1" applyBorder="1"/>
    <xf numFmtId="0" fontId="0" fillId="0" borderId="8" xfId="0" applyBorder="1"/>
    <xf numFmtId="1" fontId="7" fillId="0" borderId="19" xfId="0" applyNumberFormat="1" applyFont="1" applyBorder="1"/>
    <xf numFmtId="1" fontId="7" fillId="2" borderId="19" xfId="0" applyNumberFormat="1" applyFont="1" applyFill="1" applyBorder="1"/>
    <xf numFmtId="0" fontId="1" fillId="0" borderId="20" xfId="0" applyFont="1" applyBorder="1" applyAlignment="1">
      <alignment horizontal="center"/>
    </xf>
    <xf numFmtId="1" fontId="7" fillId="2" borderId="21" xfId="0" applyNumberFormat="1" applyFont="1" applyFill="1" applyBorder="1"/>
    <xf numFmtId="1" fontId="2" fillId="0" borderId="22" xfId="0" applyNumberFormat="1" applyFont="1" applyBorder="1"/>
    <xf numFmtId="1" fontId="1" fillId="0" borderId="23" xfId="0" applyNumberFormat="1" applyFont="1" applyBorder="1"/>
    <xf numFmtId="0" fontId="0" fillId="0" borderId="0" xfId="0" applyBorder="1"/>
    <xf numFmtId="1" fontId="1" fillId="0" borderId="24" xfId="0" applyNumberFormat="1" applyFont="1" applyFill="1" applyBorder="1" applyAlignment="1">
      <alignment horizontal="right"/>
    </xf>
    <xf numFmtId="1" fontId="1" fillId="0" borderId="10" xfId="0" applyNumberFormat="1" applyFont="1" applyFill="1" applyBorder="1" applyAlignment="1">
      <alignment horizontal="right"/>
    </xf>
    <xf numFmtId="1" fontId="1" fillId="0" borderId="25" xfId="0" applyNumberFormat="1" applyFont="1" applyFill="1" applyBorder="1"/>
    <xf numFmtId="1" fontId="1" fillId="2" borderId="26" xfId="0" applyNumberFormat="1" applyFont="1" applyFill="1" applyBorder="1"/>
    <xf numFmtId="1" fontId="1" fillId="0" borderId="27" xfId="0" applyNumberFormat="1" applyFont="1" applyFill="1" applyBorder="1"/>
    <xf numFmtId="1" fontId="1" fillId="0" borderId="10" xfId="0" applyNumberFormat="1" applyFont="1" applyFill="1" applyBorder="1"/>
    <xf numFmtId="1" fontId="4" fillId="0" borderId="0" xfId="0" applyNumberFormat="1" applyFont="1" applyFill="1" applyBorder="1"/>
    <xf numFmtId="0" fontId="0" fillId="0" borderId="28" xfId="0" applyFill="1" applyBorder="1" applyAlignment="1">
      <alignment horizontal="right"/>
    </xf>
    <xf numFmtId="0" fontId="0" fillId="2" borderId="29" xfId="0" applyFill="1" applyBorder="1"/>
    <xf numFmtId="0" fontId="0" fillId="0" borderId="30" xfId="0" applyBorder="1"/>
    <xf numFmtId="1" fontId="0" fillId="0" borderId="4" xfId="0" applyNumberFormat="1" applyBorder="1"/>
    <xf numFmtId="0" fontId="0" fillId="0" borderId="5" xfId="0" applyBorder="1"/>
    <xf numFmtId="1" fontId="0" fillId="0" borderId="5" xfId="0" applyNumberFormat="1" applyFill="1" applyBorder="1"/>
    <xf numFmtId="1" fontId="0" fillId="0" borderId="31" xfId="0" applyNumberFormat="1" applyFill="1" applyBorder="1"/>
    <xf numFmtId="1" fontId="0" fillId="0" borderId="32" xfId="0" applyNumberFormat="1" applyFill="1" applyBorder="1"/>
    <xf numFmtId="1" fontId="2" fillId="0" borderId="32" xfId="0" applyNumberFormat="1" applyFont="1" applyFill="1" applyBorder="1"/>
    <xf numFmtId="1" fontId="2" fillId="0" borderId="33" xfId="0" applyNumberFormat="1" applyFont="1" applyFill="1" applyBorder="1"/>
    <xf numFmtId="1" fontId="0" fillId="0" borderId="5" xfId="0" applyNumberFormat="1" applyBorder="1"/>
    <xf numFmtId="1" fontId="0" fillId="0" borderId="0" xfId="0" applyNumberFormat="1" applyFill="1" applyBorder="1"/>
    <xf numFmtId="0" fontId="0" fillId="0" borderId="3" xfId="0" applyBorder="1"/>
    <xf numFmtId="1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Fill="1" applyBorder="1"/>
    <xf numFmtId="0" fontId="4" fillId="0" borderId="2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2" borderId="34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7" xfId="0" applyBorder="1" applyAlignment="1">
      <alignment horizontal="center"/>
    </xf>
    <xf numFmtId="1" fontId="0" fillId="0" borderId="37" xfId="0" applyNumberFormat="1" applyFill="1" applyBorder="1"/>
    <xf numFmtId="0" fontId="4" fillId="0" borderId="37" xfId="0" applyFont="1" applyFill="1" applyBorder="1"/>
    <xf numFmtId="1" fontId="0" fillId="0" borderId="38" xfId="0" applyNumberFormat="1" applyFill="1" applyBorder="1"/>
    <xf numFmtId="0" fontId="2" fillId="0" borderId="39" xfId="0" applyFont="1" applyFill="1" applyBorder="1"/>
    <xf numFmtId="1" fontId="2" fillId="0" borderId="39" xfId="0" applyNumberFormat="1" applyFont="1" applyFill="1" applyBorder="1"/>
    <xf numFmtId="1" fontId="0" fillId="0" borderId="40" xfId="0" applyNumberFormat="1" applyFill="1" applyBorder="1"/>
    <xf numFmtId="0" fontId="0" fillId="0" borderId="16" xfId="0" applyFill="1" applyBorder="1"/>
    <xf numFmtId="1" fontId="4" fillId="0" borderId="15" xfId="0" applyNumberFormat="1" applyFont="1" applyFill="1" applyBorder="1"/>
    <xf numFmtId="0" fontId="4" fillId="0" borderId="15" xfId="0" applyFont="1" applyFill="1" applyBorder="1"/>
    <xf numFmtId="0" fontId="0" fillId="0" borderId="16" xfId="0" applyFill="1" applyBorder="1" applyAlignment="1">
      <alignment horizontal="right"/>
    </xf>
    <xf numFmtId="0" fontId="0" fillId="0" borderId="38" xfId="0" applyFill="1" applyBorder="1"/>
    <xf numFmtId="0" fontId="6" fillId="0" borderId="39" xfId="0" applyFont="1" applyFill="1" applyBorder="1"/>
    <xf numFmtId="0" fontId="0" fillId="0" borderId="40" xfId="0" applyFill="1" applyBorder="1"/>
    <xf numFmtId="1" fontId="1" fillId="2" borderId="21" xfId="0" applyNumberFormat="1" applyFont="1" applyFill="1" applyBorder="1"/>
    <xf numFmtId="1" fontId="2" fillId="0" borderId="41" xfId="0" applyNumberFormat="1" applyFont="1" applyBorder="1"/>
    <xf numFmtId="0" fontId="1" fillId="0" borderId="42" xfId="0" applyFont="1" applyBorder="1"/>
    <xf numFmtId="0" fontId="0" fillId="0" borderId="24" xfId="0" applyBorder="1"/>
    <xf numFmtId="0" fontId="0" fillId="0" borderId="10" xfId="0" applyBorder="1"/>
    <xf numFmtId="0" fontId="4" fillId="0" borderId="1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2" fillId="0" borderId="28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left"/>
    </xf>
    <xf numFmtId="1" fontId="0" fillId="0" borderId="2" xfId="0" applyNumberFormat="1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2" borderId="7" xfId="0" applyFill="1" applyBorder="1"/>
    <xf numFmtId="0" fontId="0" fillId="0" borderId="45" xfId="0" applyBorder="1"/>
    <xf numFmtId="0" fontId="0" fillId="0" borderId="46" xfId="0" applyBorder="1"/>
    <xf numFmtId="0" fontId="0" fillId="0" borderId="8" xfId="0" applyBorder="1" applyAlignment="1">
      <alignment horizontal="center"/>
    </xf>
    <xf numFmtId="0" fontId="4" fillId="0" borderId="8" xfId="0" applyFont="1" applyFill="1" applyBorder="1"/>
    <xf numFmtId="0" fontId="5" fillId="0" borderId="45" xfId="0" applyFont="1" applyFill="1" applyBorder="1"/>
    <xf numFmtId="0" fontId="5" fillId="0" borderId="47" xfId="0" applyFont="1" applyFill="1" applyBorder="1"/>
    <xf numFmtId="1" fontId="5" fillId="0" borderId="18" xfId="0" applyNumberFormat="1" applyFont="1" applyFill="1" applyBorder="1"/>
    <xf numFmtId="0" fontId="5" fillId="0" borderId="8" xfId="0" applyFont="1" applyFill="1" applyBorder="1"/>
    <xf numFmtId="1" fontId="8" fillId="0" borderId="8" xfId="0" applyNumberFormat="1" applyFont="1" applyFill="1" applyBorder="1"/>
    <xf numFmtId="0" fontId="8" fillId="0" borderId="8" xfId="0" applyFont="1" applyFill="1" applyBorder="1"/>
    <xf numFmtId="0" fontId="5" fillId="0" borderId="20" xfId="0" applyFont="1" applyFill="1" applyBorder="1"/>
    <xf numFmtId="0" fontId="4" fillId="2" borderId="7" xfId="0" applyFont="1" applyFill="1" applyBorder="1"/>
    <xf numFmtId="0" fontId="4" fillId="0" borderId="48" xfId="0" applyFont="1" applyBorder="1"/>
    <xf numFmtId="0" fontId="0" fillId="0" borderId="4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0" xfId="0" applyBorder="1"/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4" fillId="0" borderId="10" xfId="0" applyFont="1" applyBorder="1"/>
    <xf numFmtId="0" fontId="0" fillId="0" borderId="12" xfId="0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1" xfId="0" applyBorder="1"/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0" fillId="2" borderId="25" xfId="0" applyNumberFormat="1" applyFill="1" applyBorder="1"/>
    <xf numFmtId="0" fontId="1" fillId="0" borderId="27" xfId="0" applyFont="1" applyBorder="1"/>
    <xf numFmtId="0" fontId="1" fillId="0" borderId="41" xfId="0" applyFont="1" applyBorder="1"/>
    <xf numFmtId="0" fontId="1" fillId="0" borderId="53" xfId="0" applyFont="1" applyBorder="1"/>
    <xf numFmtId="1" fontId="2" fillId="0" borderId="10" xfId="0" applyNumberFormat="1" applyFont="1" applyBorder="1"/>
    <xf numFmtId="1" fontId="1" fillId="0" borderId="10" xfId="0" applyNumberFormat="1" applyFont="1" applyBorder="1"/>
    <xf numFmtId="1" fontId="1" fillId="0" borderId="12" xfId="0" applyNumberFormat="1" applyFont="1" applyBorder="1"/>
    <xf numFmtId="1" fontId="9" fillId="3" borderId="25" xfId="0" applyNumberFormat="1" applyFont="1" applyFill="1" applyBorder="1"/>
    <xf numFmtId="1" fontId="9" fillId="3" borderId="26" xfId="0" applyNumberFormat="1" applyFont="1" applyFill="1" applyBorder="1"/>
    <xf numFmtId="1" fontId="9" fillId="3" borderId="27" xfId="0" applyNumberFormat="1" applyFont="1" applyFill="1" applyBorder="1"/>
    <xf numFmtId="0" fontId="4" fillId="3" borderId="21" xfId="0" applyFont="1" applyFill="1" applyBorder="1" applyAlignment="1">
      <alignment horizontal="center"/>
    </xf>
    <xf numFmtId="1" fontId="1" fillId="4" borderId="54" xfId="0" applyNumberFormat="1" applyFont="1" applyFill="1" applyBorder="1"/>
    <xf numFmtId="0" fontId="1" fillId="4" borderId="5" xfId="0" applyFont="1" applyFill="1" applyBorder="1"/>
    <xf numFmtId="0" fontId="9" fillId="4" borderId="55" xfId="0" applyFont="1" applyFill="1" applyBorder="1"/>
    <xf numFmtId="0" fontId="1" fillId="4" borderId="0" xfId="0" applyFont="1" applyFill="1" applyBorder="1"/>
    <xf numFmtId="0" fontId="1" fillId="2" borderId="5" xfId="0" applyFont="1" applyFill="1" applyBorder="1"/>
    <xf numFmtId="0" fontId="1" fillId="2" borderId="30" xfId="0" applyFont="1" applyFill="1" applyBorder="1" applyAlignment="1">
      <alignment horizontal="left"/>
    </xf>
    <xf numFmtId="1" fontId="7" fillId="2" borderId="30" xfId="0" applyNumberFormat="1" applyFont="1" applyFill="1" applyBorder="1"/>
    <xf numFmtId="1" fontId="1" fillId="0" borderId="56" xfId="0" applyNumberFormat="1" applyFont="1" applyBorder="1"/>
    <xf numFmtId="1" fontId="1" fillId="0" borderId="54" xfId="0" applyNumberFormat="1" applyFont="1" applyBorder="1"/>
    <xf numFmtId="1" fontId="9" fillId="0" borderId="57" xfId="0" applyNumberFormat="1" applyFont="1" applyBorder="1"/>
    <xf numFmtId="1" fontId="9" fillId="0" borderId="56" xfId="0" applyNumberFormat="1" applyFont="1" applyBorder="1"/>
    <xf numFmtId="1" fontId="9" fillId="0" borderId="54" xfId="0" applyNumberFormat="1" applyFont="1" applyBorder="1"/>
    <xf numFmtId="0" fontId="4" fillId="0" borderId="29" xfId="0" applyFont="1" applyBorder="1" applyAlignment="1">
      <alignment horizontal="left"/>
    </xf>
    <xf numFmtId="1" fontId="1" fillId="2" borderId="38" xfId="0" applyNumberFormat="1" applyFont="1" applyFill="1" applyBorder="1"/>
    <xf numFmtId="1" fontId="1" fillId="0" borderId="40" xfId="0" applyNumberFormat="1" applyFont="1" applyBorder="1"/>
    <xf numFmtId="0" fontId="1" fillId="0" borderId="58" xfId="0" applyFont="1" applyBorder="1"/>
    <xf numFmtId="1" fontId="1" fillId="0" borderId="59" xfId="0" applyNumberFormat="1" applyFont="1" applyBorder="1"/>
    <xf numFmtId="1" fontId="1" fillId="0" borderId="60" xfId="0" applyNumberFormat="1" applyFont="1" applyBorder="1"/>
    <xf numFmtId="1" fontId="1" fillId="0" borderId="38" xfId="0" applyNumberFormat="1" applyFont="1" applyBorder="1"/>
    <xf numFmtId="1" fontId="1" fillId="0" borderId="39" xfId="0" applyNumberFormat="1" applyFont="1" applyBorder="1"/>
    <xf numFmtId="0" fontId="1" fillId="0" borderId="13" xfId="0" applyFont="1" applyBorder="1" applyAlignment="1">
      <alignment horizontal="center"/>
    </xf>
    <xf numFmtId="1" fontId="0" fillId="2" borderId="61" xfId="0" applyNumberFormat="1" applyFill="1" applyBorder="1"/>
    <xf numFmtId="1" fontId="0" fillId="0" borderId="62" xfId="0" applyNumberFormat="1" applyBorder="1"/>
    <xf numFmtId="0" fontId="0" fillId="0" borderId="41" xfId="0" applyBorder="1"/>
    <xf numFmtId="0" fontId="0" fillId="0" borderId="42" xfId="0" applyBorder="1"/>
    <xf numFmtId="1" fontId="1" fillId="0" borderId="10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4" fillId="3" borderId="61" xfId="0" applyNumberFormat="1" applyFont="1" applyFill="1" applyBorder="1"/>
    <xf numFmtId="1" fontId="4" fillId="3" borderId="42" xfId="0" applyNumberFormat="1" applyFont="1" applyFill="1" applyBorder="1"/>
    <xf numFmtId="1" fontId="4" fillId="3" borderId="26" xfId="0" applyNumberFormat="1" applyFont="1" applyFill="1" applyBorder="1"/>
    <xf numFmtId="1" fontId="4" fillId="3" borderId="41" xfId="0" applyNumberFormat="1" applyFont="1" applyFill="1" applyBorder="1"/>
    <xf numFmtId="1" fontId="4" fillId="3" borderId="63" xfId="0" applyNumberFormat="1" applyFont="1" applyFill="1" applyBorder="1"/>
    <xf numFmtId="1" fontId="4" fillId="3" borderId="27" xfId="0" applyNumberFormat="1" applyFont="1" applyFill="1" applyBorder="1"/>
    <xf numFmtId="0" fontId="4" fillId="3" borderId="28" xfId="0" applyFont="1" applyFill="1" applyBorder="1" applyAlignment="1">
      <alignment horizontal="center"/>
    </xf>
    <xf numFmtId="0" fontId="0" fillId="2" borderId="57" xfId="0" applyFill="1" applyBorder="1"/>
    <xf numFmtId="0" fontId="0" fillId="0" borderId="54" xfId="0" applyBorder="1"/>
    <xf numFmtId="1" fontId="0" fillId="2" borderId="56" xfId="0" applyNumberFormat="1" applyFill="1" applyBorder="1"/>
    <xf numFmtId="1" fontId="0" fillId="0" borderId="56" xfId="0" applyNumberFormat="1" applyBorder="1"/>
    <xf numFmtId="1" fontId="0" fillId="0" borderId="54" xfId="0" applyNumberFormat="1" applyBorder="1"/>
    <xf numFmtId="1" fontId="4" fillId="0" borderId="57" xfId="0" applyNumberFormat="1" applyFont="1" applyBorder="1"/>
    <xf numFmtId="1" fontId="4" fillId="0" borderId="4" xfId="0" applyNumberFormat="1" applyFont="1" applyBorder="1"/>
    <xf numFmtId="1" fontId="4" fillId="0" borderId="56" xfId="0" applyNumberFormat="1" applyFont="1" applyBorder="1"/>
    <xf numFmtId="1" fontId="4" fillId="0" borderId="6" xfId="0" applyNumberFormat="1" applyFont="1" applyBorder="1"/>
    <xf numFmtId="1" fontId="4" fillId="0" borderId="64" xfId="0" applyNumberFormat="1" applyFont="1" applyBorder="1"/>
    <xf numFmtId="1" fontId="4" fillId="0" borderId="54" xfId="0" applyNumberFormat="1" applyFont="1" applyBorder="1"/>
    <xf numFmtId="0" fontId="4" fillId="0" borderId="28" xfId="0" applyFont="1" applyBorder="1" applyAlignment="1">
      <alignment horizontal="left"/>
    </xf>
    <xf numFmtId="0" fontId="0" fillId="2" borderId="38" xfId="0" applyFill="1" applyBorder="1"/>
    <xf numFmtId="0" fontId="0" fillId="0" borderId="40" xfId="0" applyBorder="1"/>
    <xf numFmtId="1" fontId="0" fillId="3" borderId="3" xfId="0" applyNumberFormat="1" applyFill="1" applyBorder="1"/>
    <xf numFmtId="1" fontId="0" fillId="3" borderId="32" xfId="0" applyNumberFormat="1" applyFill="1" applyBorder="1"/>
    <xf numFmtId="1" fontId="0" fillId="3" borderId="33" xfId="0" applyNumberFormat="1" applyFill="1" applyBorder="1"/>
    <xf numFmtId="1" fontId="0" fillId="0" borderId="38" xfId="0" applyNumberFormat="1" applyBorder="1"/>
    <xf numFmtId="1" fontId="2" fillId="0" borderId="56" xfId="0" applyNumberFormat="1" applyFont="1" applyBorder="1"/>
    <xf numFmtId="1" fontId="2" fillId="0" borderId="4" xfId="0" applyNumberFormat="1" applyFont="1" applyBorder="1"/>
    <xf numFmtId="1" fontId="0" fillId="0" borderId="39" xfId="0" applyNumberFormat="1" applyBorder="1"/>
    <xf numFmtId="1" fontId="0" fillId="0" borderId="40" xfId="0" applyNumberFormat="1" applyBorder="1"/>
    <xf numFmtId="1" fontId="0" fillId="0" borderId="27" xfId="0" applyNumberFormat="1" applyBorder="1"/>
    <xf numFmtId="0" fontId="0" fillId="2" borderId="31" xfId="0" applyFill="1" applyBorder="1"/>
    <xf numFmtId="0" fontId="0" fillId="0" borderId="33" xfId="0" applyBorder="1"/>
    <xf numFmtId="1" fontId="0" fillId="0" borderId="30" xfId="0" applyNumberFormat="1" applyBorder="1"/>
    <xf numFmtId="1" fontId="2" fillId="0" borderId="54" xfId="0" applyNumberFormat="1" applyFont="1" applyBorder="1"/>
    <xf numFmtId="1" fontId="4" fillId="3" borderId="25" xfId="0" applyNumberFormat="1" applyFont="1" applyFill="1" applyBorder="1"/>
    <xf numFmtId="1" fontId="4" fillId="0" borderId="63" xfId="0" applyNumberFormat="1" applyFont="1" applyBorder="1"/>
    <xf numFmtId="1" fontId="4" fillId="0" borderId="42" xfId="0" applyNumberFormat="1" applyFont="1" applyBorder="1"/>
    <xf numFmtId="1" fontId="4" fillId="0" borderId="27" xfId="0" applyNumberFormat="1" applyFont="1" applyBorder="1"/>
    <xf numFmtId="0" fontId="4" fillId="0" borderId="28" xfId="0" applyFont="1" applyBorder="1" applyAlignment="1">
      <alignment horizontal="center"/>
    </xf>
    <xf numFmtId="1" fontId="4" fillId="3" borderId="44" xfId="0" applyNumberFormat="1" applyFont="1" applyFill="1" applyBorder="1"/>
    <xf numFmtId="0" fontId="0" fillId="0" borderId="65" xfId="0" applyBorder="1"/>
    <xf numFmtId="1" fontId="4" fillId="0" borderId="61" xfId="0" applyNumberFormat="1" applyFont="1" applyBorder="1"/>
    <xf numFmtId="1" fontId="1" fillId="2" borderId="25" xfId="0" applyNumberFormat="1" applyFont="1" applyFill="1" applyBorder="1"/>
    <xf numFmtId="1" fontId="1" fillId="0" borderId="27" xfId="0" applyNumberFormat="1" applyFont="1" applyBorder="1"/>
    <xf numFmtId="1" fontId="4" fillId="3" borderId="23" xfId="0" applyNumberFormat="1" applyFont="1" applyFill="1" applyBorder="1"/>
    <xf numFmtId="1" fontId="4" fillId="3" borderId="43" xfId="0" applyNumberFormat="1" applyFont="1" applyFill="1" applyBorder="1"/>
    <xf numFmtId="1" fontId="4" fillId="0" borderId="25" xfId="0" applyNumberFormat="1" applyFont="1" applyBorder="1"/>
    <xf numFmtId="0" fontId="0" fillId="0" borderId="63" xfId="0" applyBorder="1"/>
    <xf numFmtId="0" fontId="0" fillId="0" borderId="66" xfId="0" applyBorder="1"/>
    <xf numFmtId="0" fontId="0" fillId="0" borderId="64" xfId="0" applyBorder="1"/>
    <xf numFmtId="1" fontId="0" fillId="2" borderId="30" xfId="0" applyNumberFormat="1" applyFill="1" applyBorder="1"/>
    <xf numFmtId="0" fontId="0" fillId="0" borderId="67" xfId="0" applyBorder="1"/>
    <xf numFmtId="0" fontId="0" fillId="0" borderId="68" xfId="0" applyBorder="1"/>
    <xf numFmtId="1" fontId="0" fillId="0" borderId="34" xfId="0" applyNumberFormat="1" applyBorder="1"/>
    <xf numFmtId="0" fontId="0" fillId="0" borderId="28" xfId="0" applyBorder="1" applyAlignment="1">
      <alignment horizontal="center"/>
    </xf>
    <xf numFmtId="0" fontId="1" fillId="0" borderId="66" xfId="0" applyFont="1" applyBorder="1"/>
    <xf numFmtId="1" fontId="4" fillId="3" borderId="66" xfId="0" applyNumberFormat="1" applyFont="1" applyFill="1" applyBorder="1"/>
    <xf numFmtId="0" fontId="4" fillId="3" borderId="9" xfId="0" applyFont="1" applyFill="1" applyBorder="1" applyAlignment="1">
      <alignment horizontal="center"/>
    </xf>
    <xf numFmtId="0" fontId="4" fillId="0" borderId="48" xfId="0" applyFont="1" applyBorder="1" applyAlignment="1">
      <alignment horizontal="left"/>
    </xf>
    <xf numFmtId="1" fontId="0" fillId="0" borderId="36" xfId="0" applyNumberFormat="1" applyBorder="1"/>
    <xf numFmtId="0" fontId="4" fillId="3" borderId="48" xfId="0" applyFont="1" applyFill="1" applyBorder="1" applyAlignment="1">
      <alignment horizontal="center"/>
    </xf>
    <xf numFmtId="0" fontId="0" fillId="0" borderId="69" xfId="0" applyBorder="1"/>
    <xf numFmtId="1" fontId="0" fillId="0" borderId="37" xfId="0" applyNumberFormat="1" applyBorder="1"/>
    <xf numFmtId="1" fontId="4" fillId="3" borderId="53" xfId="0" applyNumberFormat="1" applyFont="1" applyFill="1" applyBorder="1"/>
    <xf numFmtId="1" fontId="4" fillId="0" borderId="30" xfId="0" applyNumberFormat="1" applyFont="1" applyBorder="1"/>
    <xf numFmtId="1" fontId="0" fillId="0" borderId="68" xfId="0" applyNumberFormat="1" applyBorder="1"/>
    <xf numFmtId="0" fontId="0" fillId="0" borderId="48" xfId="0" applyBorder="1" applyAlignment="1">
      <alignment horizontal="center"/>
    </xf>
    <xf numFmtId="1" fontId="10" fillId="0" borderId="7" xfId="0" applyNumberFormat="1" applyFont="1" applyBorder="1"/>
    <xf numFmtId="1" fontId="10" fillId="0" borderId="45" xfId="0" applyNumberFormat="1" applyFont="1" applyBorder="1"/>
    <xf numFmtId="0" fontId="10" fillId="0" borderId="47" xfId="0" applyFont="1" applyBorder="1"/>
    <xf numFmtId="0" fontId="10" fillId="0" borderId="8" xfId="0" applyFont="1" applyBorder="1"/>
    <xf numFmtId="0" fontId="11" fillId="0" borderId="8" xfId="0" applyFont="1" applyBorder="1"/>
    <xf numFmtId="0" fontId="5" fillId="0" borderId="46" xfId="0" applyFont="1" applyBorder="1"/>
    <xf numFmtId="0" fontId="11" fillId="0" borderId="18" xfId="0" applyFont="1" applyBorder="1"/>
    <xf numFmtId="1" fontId="12" fillId="0" borderId="46" xfId="0" applyNumberFormat="1" applyFont="1" applyBorder="1"/>
    <xf numFmtId="0" fontId="12" fillId="0" borderId="46" xfId="0" applyFont="1" applyBorder="1"/>
    <xf numFmtId="0" fontId="10" fillId="0" borderId="7" xfId="0" applyFont="1" applyBorder="1"/>
    <xf numFmtId="0" fontId="4" fillId="2" borderId="13" xfId="0" applyFont="1" applyFill="1" applyBorder="1"/>
    <xf numFmtId="1" fontId="0" fillId="0" borderId="0" xfId="0" applyNumberFormat="1" applyBorder="1"/>
    <xf numFmtId="0" fontId="2" fillId="0" borderId="4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49" xfId="0" applyFont="1" applyBorder="1"/>
    <xf numFmtId="0" fontId="0" fillId="0" borderId="48" xfId="0" applyBorder="1"/>
    <xf numFmtId="1" fontId="4" fillId="0" borderId="14" xfId="0" applyNumberFormat="1" applyFont="1" applyBorder="1"/>
    <xf numFmtId="0" fontId="0" fillId="0" borderId="13" xfId="0" applyBorder="1"/>
    <xf numFmtId="0" fontId="4" fillId="0" borderId="4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1" fontId="1" fillId="5" borderId="63" xfId="0" applyNumberFormat="1" applyFont="1" applyFill="1" applyBorder="1" applyAlignment="1">
      <alignment horizontal="center"/>
    </xf>
    <xf numFmtId="0" fontId="0" fillId="5" borderId="41" xfId="0" applyFill="1" applyBorder="1"/>
    <xf numFmtId="1" fontId="1" fillId="5" borderId="41" xfId="0" applyNumberFormat="1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7" fillId="5" borderId="10" xfId="0" applyFont="1" applyFill="1" applyBorder="1"/>
    <xf numFmtId="0" fontId="0" fillId="5" borderId="19" xfId="0" applyFill="1" applyBorder="1" applyAlignment="1"/>
    <xf numFmtId="1" fontId="1" fillId="5" borderId="64" xfId="0" applyNumberFormat="1" applyFont="1" applyFill="1" applyBorder="1" applyAlignment="1">
      <alignment horizontal="center"/>
    </xf>
    <xf numFmtId="0" fontId="0" fillId="5" borderId="5" xfId="0" applyFill="1" applyBorder="1"/>
    <xf numFmtId="1" fontId="1" fillId="5" borderId="5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0" xfId="0" applyFill="1" applyBorder="1" applyAlignment="1"/>
    <xf numFmtId="0" fontId="0" fillId="5" borderId="0" xfId="0" applyFill="1" applyAlignment="1">
      <alignment horizontal="center"/>
    </xf>
    <xf numFmtId="0" fontId="1" fillId="5" borderId="15" xfId="0" applyFont="1" applyFill="1" applyBorder="1" applyAlignment="1">
      <alignment horizontal="center"/>
    </xf>
    <xf numFmtId="1" fontId="1" fillId="5" borderId="69" xfId="0" applyNumberFormat="1" applyFont="1" applyFill="1" applyBorder="1" applyAlignment="1">
      <alignment horizontal="center"/>
    </xf>
    <xf numFmtId="0" fontId="0" fillId="5" borderId="2" xfId="0" applyFill="1" applyBorder="1"/>
    <xf numFmtId="1" fontId="1" fillId="5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/>
    <xf numFmtId="0" fontId="1" fillId="5" borderId="4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5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164" fontId="0" fillId="5" borderId="2" xfId="0" applyNumberFormat="1" applyFill="1" applyBorder="1"/>
    <xf numFmtId="164" fontId="0" fillId="5" borderId="2" xfId="0" applyNumberFormat="1" applyFill="1" applyBorder="1" applyAlignment="1">
      <alignment horizontal="left"/>
    </xf>
    <xf numFmtId="1" fontId="0" fillId="5" borderId="2" xfId="0" applyNumberFormat="1" applyFill="1" applyBorder="1" applyAlignment="1">
      <alignment horizontal="right"/>
    </xf>
    <xf numFmtId="0" fontId="0" fillId="5" borderId="3" xfId="0" applyFill="1" applyBorder="1"/>
    <xf numFmtId="0" fontId="0" fillId="5" borderId="3" xfId="0" applyFill="1" applyBorder="1" applyAlignment="1">
      <alignment horizontal="right"/>
    </xf>
    <xf numFmtId="0" fontId="0" fillId="5" borderId="28" xfId="0" applyFill="1" applyBorder="1" applyAlignment="1"/>
    <xf numFmtId="1" fontId="1" fillId="5" borderId="70" xfId="0" applyNumberFormat="1" applyFont="1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2" fontId="2" fillId="5" borderId="43" xfId="0" applyNumberFormat="1" applyFont="1" applyFill="1" applyBorder="1" applyAlignment="1">
      <alignment horizontal="left"/>
    </xf>
    <xf numFmtId="0" fontId="0" fillId="5" borderId="43" xfId="0" applyFill="1" applyBorder="1" applyAlignment="1">
      <alignment horizontal="left"/>
    </xf>
    <xf numFmtId="2" fontId="0" fillId="5" borderId="43" xfId="0" applyNumberFormat="1" applyFill="1" applyBorder="1" applyAlignment="1">
      <alignment horizontal="right"/>
    </xf>
    <xf numFmtId="164" fontId="0" fillId="5" borderId="43" xfId="0" applyNumberFormat="1" applyFill="1" applyBorder="1"/>
    <xf numFmtId="0" fontId="13" fillId="5" borderId="43" xfId="0" applyFont="1" applyFill="1" applyBorder="1" applyAlignment="1">
      <alignment horizontal="center"/>
    </xf>
    <xf numFmtId="0" fontId="0" fillId="5" borderId="22" xfId="0" applyFill="1" applyBorder="1"/>
    <xf numFmtId="0" fontId="0" fillId="5" borderId="22" xfId="0" applyFill="1" applyBorder="1" applyAlignment="1">
      <alignment horizontal="right"/>
    </xf>
    <xf numFmtId="0" fontId="1" fillId="5" borderId="43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1" fontId="1" fillId="5" borderId="52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164" fontId="0" fillId="5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right"/>
    </xf>
    <xf numFmtId="0" fontId="0" fillId="5" borderId="55" xfId="0" applyFill="1" applyBorder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9" fillId="5" borderId="5" xfId="0" applyFont="1" applyFill="1" applyBorder="1" applyAlignment="1"/>
    <xf numFmtId="0" fontId="9" fillId="5" borderId="30" xfId="0" applyFont="1" applyFill="1" applyBorder="1" applyAlignment="1"/>
    <xf numFmtId="0" fontId="9" fillId="5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43" xfId="0" applyFill="1" applyBorder="1" applyAlignment="1">
      <alignment horizontal="right"/>
    </xf>
    <xf numFmtId="0" fontId="0" fillId="5" borderId="43" xfId="0" applyFill="1" applyBorder="1"/>
    <xf numFmtId="0" fontId="0" fillId="5" borderId="56" xfId="0" applyFill="1" applyBorder="1" applyAlignment="1">
      <alignment horizontal="left"/>
    </xf>
    <xf numFmtId="0" fontId="0" fillId="5" borderId="0" xfId="0" applyFill="1"/>
    <xf numFmtId="164" fontId="2" fillId="5" borderId="0" xfId="0" applyNumberFormat="1" applyFont="1" applyFill="1" applyBorder="1" applyAlignment="1">
      <alignment horizontal="left"/>
    </xf>
    <xf numFmtId="164" fontId="0" fillId="5" borderId="0" xfId="0" applyNumberFormat="1" applyFill="1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1" fontId="1" fillId="5" borderId="43" xfId="0" applyNumberFormat="1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" fillId="5" borderId="22" xfId="0" applyFont="1" applyFill="1" applyBorder="1"/>
    <xf numFmtId="0" fontId="0" fillId="5" borderId="62" xfId="0" applyFill="1" applyBorder="1" applyAlignment="1"/>
    <xf numFmtId="1" fontId="1" fillId="5" borderId="11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165" fontId="1" fillId="5" borderId="10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left"/>
    </xf>
    <xf numFmtId="0" fontId="1" fillId="5" borderId="50" xfId="0" applyFont="1" applyFill="1" applyBorder="1"/>
    <xf numFmtId="0" fontId="0" fillId="5" borderId="33" xfId="0" applyFill="1" applyBorder="1"/>
    <xf numFmtId="0" fontId="0" fillId="5" borderId="0" xfId="0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" fillId="5" borderId="58" xfId="0" applyFont="1" applyFill="1" applyBorder="1"/>
    <xf numFmtId="0" fontId="0" fillId="5" borderId="60" xfId="0" applyFill="1" applyBorder="1"/>
    <xf numFmtId="0" fontId="0" fillId="5" borderId="5" xfId="0" applyFill="1" applyBorder="1" applyAlignment="1">
      <alignment horizontal="right"/>
    </xf>
    <xf numFmtId="0" fontId="0" fillId="5" borderId="5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0" fillId="5" borderId="30" xfId="0" applyFill="1" applyBorder="1" applyAlignment="1">
      <alignment horizontal="left"/>
    </xf>
    <xf numFmtId="0" fontId="0" fillId="5" borderId="56" xfId="0" applyFill="1" applyBorder="1"/>
    <xf numFmtId="0" fontId="0" fillId="5" borderId="58" xfId="0" applyFill="1" applyBorder="1" applyAlignment="1">
      <alignment horizontal="left"/>
    </xf>
    <xf numFmtId="0" fontId="0" fillId="5" borderId="59" xfId="0" applyFill="1" applyBorder="1"/>
    <xf numFmtId="0" fontId="0" fillId="5" borderId="0" xfId="0" applyFill="1" applyBorder="1" applyAlignment="1">
      <alignment horizontal="left"/>
    </xf>
    <xf numFmtId="0" fontId="0" fillId="5" borderId="58" xfId="0" applyFill="1" applyBorder="1" applyAlignment="1">
      <alignment horizontal="left"/>
    </xf>
    <xf numFmtId="0" fontId="4" fillId="5" borderId="59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right"/>
    </xf>
    <xf numFmtId="1" fontId="0" fillId="5" borderId="0" xfId="0" applyNumberFormat="1" applyFill="1"/>
    <xf numFmtId="0" fontId="0" fillId="5" borderId="43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/>
    <xf numFmtId="0" fontId="0" fillId="5" borderId="60" xfId="0" applyFill="1" applyBorder="1" applyAlignment="1">
      <alignment textRotation="90"/>
    </xf>
    <xf numFmtId="0" fontId="0" fillId="5" borderId="64" xfId="0" applyFill="1" applyBorder="1" applyAlignment="1">
      <alignment horizontal="left"/>
    </xf>
    <xf numFmtId="0" fontId="2" fillId="5" borderId="3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30" xfId="0" applyFont="1" applyFill="1" applyBorder="1" applyAlignment="1">
      <alignment horizontal="center"/>
    </xf>
    <xf numFmtId="0" fontId="4" fillId="0" borderId="30" xfId="0" applyFont="1" applyBorder="1"/>
    <xf numFmtId="0" fontId="2" fillId="0" borderId="56" xfId="0" applyFont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left"/>
    </xf>
    <xf numFmtId="2" fontId="0" fillId="5" borderId="2" xfId="0" applyNumberForma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32" xfId="0" applyFill="1" applyBorder="1" applyAlignment="1">
      <alignment horizontal="center"/>
    </xf>
    <xf numFmtId="0" fontId="1" fillId="5" borderId="3" xfId="0" applyFont="1" applyFill="1" applyBorder="1"/>
    <xf numFmtId="0" fontId="0" fillId="5" borderId="44" xfId="0" applyFill="1" applyBorder="1" applyAlignment="1">
      <alignment horizontal="right"/>
    </xf>
    <xf numFmtId="1" fontId="0" fillId="5" borderId="43" xfId="0" applyNumberFormat="1" applyFill="1" applyBorder="1" applyAlignment="1">
      <alignment horizontal="center"/>
    </xf>
    <xf numFmtId="0" fontId="0" fillId="5" borderId="72" xfId="0" applyFill="1" applyBorder="1" applyAlignment="1">
      <alignment textRotation="90"/>
    </xf>
    <xf numFmtId="0" fontId="1" fillId="5" borderId="2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right"/>
    </xf>
    <xf numFmtId="2" fontId="0" fillId="0" borderId="0" xfId="0" applyNumberForma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center"/>
    </xf>
    <xf numFmtId="2" fontId="2" fillId="0" borderId="56" xfId="0" applyNumberFormat="1" applyFont="1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center"/>
    </xf>
    <xf numFmtId="2" fontId="2" fillId="0" borderId="32" xfId="0" applyNumberFormat="1" applyFont="1" applyFill="1" applyBorder="1"/>
    <xf numFmtId="0" fontId="9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0" fillId="0" borderId="58" xfId="0" applyBorder="1"/>
    <xf numFmtId="0" fontId="0" fillId="0" borderId="22" xfId="0" applyBorder="1"/>
    <xf numFmtId="0" fontId="0" fillId="0" borderId="23" xfId="0" applyBorder="1"/>
    <xf numFmtId="164" fontId="0" fillId="0" borderId="0" xfId="0" applyNumberFormat="1" applyBorder="1"/>
    <xf numFmtId="1" fontId="0" fillId="0" borderId="58" xfId="0" applyNumberFormat="1" applyBorder="1"/>
    <xf numFmtId="1" fontId="1" fillId="0" borderId="3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32" xfId="0" applyNumberFormat="1" applyFont="1" applyFill="1" applyBorder="1" applyAlignment="1">
      <alignment horizontal="center"/>
    </xf>
    <xf numFmtId="1" fontId="2" fillId="0" borderId="7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2" xfId="0" applyFont="1" applyBorder="1"/>
    <xf numFmtId="2" fontId="0" fillId="0" borderId="9" xfId="0" applyNumberForma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9" xfId="0" applyFill="1" applyBorder="1"/>
    <xf numFmtId="0" fontId="2" fillId="0" borderId="9" xfId="0" applyFont="1" applyFill="1" applyBorder="1"/>
    <xf numFmtId="0" fontId="0" fillId="0" borderId="52" xfId="0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2" fillId="0" borderId="48" xfId="0" applyFont="1" applyBorder="1"/>
    <xf numFmtId="0" fontId="2" fillId="0" borderId="28" xfId="0" applyFont="1" applyBorder="1"/>
    <xf numFmtId="2" fontId="0" fillId="0" borderId="48" xfId="0" applyNumberFormat="1" applyBorder="1" applyAlignment="1">
      <alignment horizontal="center"/>
    </xf>
    <xf numFmtId="2" fontId="2" fillId="0" borderId="48" xfId="0" applyNumberFormat="1" applyFont="1" applyBorder="1" applyAlignment="1">
      <alignment horizontal="center"/>
    </xf>
    <xf numFmtId="0" fontId="0" fillId="0" borderId="48" xfId="0" applyFill="1" applyBorder="1"/>
    <xf numFmtId="0" fontId="2" fillId="0" borderId="48" xfId="0" applyFont="1" applyFill="1" applyBorder="1"/>
    <xf numFmtId="164" fontId="0" fillId="0" borderId="48" xfId="0" applyNumberFormat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" fillId="0" borderId="28" xfId="0" applyFont="1" applyBorder="1"/>
    <xf numFmtId="0" fontId="4" fillId="0" borderId="48" xfId="0" applyFont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13" xfId="0" applyFont="1" applyBorder="1"/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15" fillId="2" borderId="0" xfId="0" applyNumberFormat="1" applyFont="1" applyFill="1" applyBorder="1"/>
    <xf numFmtId="2" fontId="15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56" xfId="0" applyBorder="1"/>
    <xf numFmtId="2" fontId="0" fillId="0" borderId="56" xfId="0" applyNumberFormat="1" applyBorder="1"/>
    <xf numFmtId="0" fontId="0" fillId="0" borderId="32" xfId="0" applyBorder="1"/>
    <xf numFmtId="2" fontId="15" fillId="0" borderId="0" xfId="0" applyNumberFormat="1" applyFont="1" applyFill="1"/>
    <xf numFmtId="1" fontId="1" fillId="0" borderId="56" xfId="0" applyNumberFormat="1" applyFont="1" applyFill="1" applyBorder="1" applyAlignment="1">
      <alignment horizontal="right"/>
    </xf>
    <xf numFmtId="1" fontId="16" fillId="0" borderId="56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" fontId="1" fillId="0" borderId="30" xfId="0" applyNumberFormat="1" applyFont="1" applyBorder="1"/>
    <xf numFmtId="1" fontId="1" fillId="0" borderId="56" xfId="0" applyNumberFormat="1" applyFont="1" applyFill="1" applyBorder="1"/>
    <xf numFmtId="0" fontId="0" fillId="0" borderId="56" xfId="0" applyFill="1" applyBorder="1" applyAlignment="1">
      <alignment horizontal="center"/>
    </xf>
    <xf numFmtId="1" fontId="0" fillId="0" borderId="0" xfId="0" applyNumberFormat="1"/>
    <xf numFmtId="2" fontId="15" fillId="0" borderId="0" xfId="0" applyNumberFormat="1" applyFont="1"/>
    <xf numFmtId="1" fontId="1" fillId="0" borderId="56" xfId="0" applyNumberFormat="1" applyFont="1" applyBorder="1" applyAlignment="1">
      <alignment horizontal="right"/>
    </xf>
    <xf numFmtId="1" fontId="16" fillId="0" borderId="56" xfId="0" applyNumberFormat="1" applyFont="1" applyBorder="1" applyAlignment="1">
      <alignment horizontal="right"/>
    </xf>
    <xf numFmtId="164" fontId="1" fillId="0" borderId="56" xfId="0" applyNumberFormat="1" applyFont="1" applyBorder="1" applyAlignment="1">
      <alignment horizontal="center"/>
    </xf>
    <xf numFmtId="2" fontId="2" fillId="0" borderId="5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30" xfId="0" applyFont="1" applyBorder="1"/>
    <xf numFmtId="1" fontId="0" fillId="0" borderId="32" xfId="0" applyNumberFormat="1" applyBorder="1" applyAlignment="1">
      <alignment horizontal="right"/>
    </xf>
    <xf numFmtId="164" fontId="0" fillId="0" borderId="56" xfId="0" applyNumberFormat="1" applyBorder="1" applyAlignment="1">
      <alignment horizontal="center"/>
    </xf>
    <xf numFmtId="1" fontId="0" fillId="0" borderId="32" xfId="0" applyNumberFormat="1" applyBorder="1"/>
    <xf numFmtId="2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6" xfId="0" applyFill="1" applyBorder="1"/>
    <xf numFmtId="2" fontId="0" fillId="0" borderId="56" xfId="0" applyNumberFormat="1" applyFill="1" applyBorder="1"/>
    <xf numFmtId="0" fontId="0" fillId="0" borderId="32" xfId="0" applyBorder="1" applyAlignment="1">
      <alignment horizontal="center"/>
    </xf>
    <xf numFmtId="0" fontId="0" fillId="0" borderId="59" xfId="0" applyBorder="1"/>
    <xf numFmtId="10" fontId="0" fillId="0" borderId="9" xfId="0" applyNumberForma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/>
    <xf numFmtId="0" fontId="2" fillId="0" borderId="32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56" xfId="0" applyFont="1" applyFill="1" applyBorder="1" applyAlignment="1">
      <alignment horizontal="center"/>
    </xf>
    <xf numFmtId="0" fontId="0" fillId="0" borderId="30" xfId="0" applyFill="1" applyBorder="1"/>
    <xf numFmtId="1" fontId="18" fillId="0" borderId="56" xfId="0" applyNumberFormat="1" applyFont="1" applyBorder="1"/>
    <xf numFmtId="0" fontId="18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0" fillId="0" borderId="49" xfId="0" applyBorder="1"/>
    <xf numFmtId="0" fontId="18" fillId="0" borderId="28" xfId="0" applyFont="1" applyBorder="1" applyAlignment="1">
      <alignment horizontal="center"/>
    </xf>
    <xf numFmtId="0" fontId="0" fillId="0" borderId="14" xfId="0" applyBorder="1"/>
    <xf numFmtId="0" fontId="20" fillId="0" borderId="1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59;&#1050;/&#1046;-6/&#1051;&#1080;&#1094;.%20&#1082;&#1072;&#1088;&#1090;.%20&#1076;.%20&#1046;&#1069;&#1059;-6%202011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(2)"/>
      <sheetName val="Сод1р_"/>
      <sheetName val="сод_ слес"/>
      <sheetName val="переч.услуг"/>
      <sheetName val="сод. 1р.,слес"/>
      <sheetName val="1хим1"/>
      <sheetName val="1хим2"/>
      <sheetName val="1хим3"/>
      <sheetName val="1хим4"/>
      <sheetName val="1хим5"/>
      <sheetName val="1хим6"/>
      <sheetName val="1хим7"/>
      <sheetName val="1хим8"/>
      <sheetName val="1хим9"/>
      <sheetName val="1хим10"/>
      <sheetName val="1хим11"/>
      <sheetName val="2хим1"/>
      <sheetName val="2хим2"/>
      <sheetName val="2хим3"/>
      <sheetName val="2хим4"/>
      <sheetName val="2хим5"/>
      <sheetName val="2хим6"/>
      <sheetName val="2хим7"/>
      <sheetName val="2хим8"/>
      <sheetName val="3хим2"/>
      <sheetName val="3хим4"/>
      <sheetName val="3хим5"/>
      <sheetName val="3хим6"/>
      <sheetName val="3хим7"/>
      <sheetName val="3хим8"/>
      <sheetName val="3Хим10"/>
      <sheetName val="3Хим11"/>
      <sheetName val="3Хим12"/>
      <sheetName val="3Хим13"/>
      <sheetName val="4хим1"/>
      <sheetName val="4хим2"/>
      <sheetName val="4хим3"/>
      <sheetName val="4хим4"/>
      <sheetName val="4хим5"/>
      <sheetName val="4хим6"/>
      <sheetName val="Крест15"/>
      <sheetName val="Крест17"/>
      <sheetName val="п.Попова,1"/>
      <sheetName val="п.Попова,4"/>
      <sheetName val="п.Попова,5"/>
      <sheetName val="п.Радищева,10"/>
      <sheetName val="Фасад2"/>
      <sheetName val="Тепличная,10"/>
      <sheetName val="Тепличная,11"/>
      <sheetName val="Тепличная,12"/>
      <sheetName val="Тепличная,13"/>
      <sheetName val="Тепличная,14"/>
      <sheetName val="Тепличная,15"/>
      <sheetName val="Звен 7"/>
      <sheetName val="Звен 8"/>
      <sheetName val="Звен 9"/>
      <sheetName val="Звен 10"/>
      <sheetName val="Юбилейная,1"/>
      <sheetName val="Юбилейная,3"/>
      <sheetName val="Юбилейная,6"/>
      <sheetName val="Воин.интер,7"/>
      <sheetName val="Герц30"/>
      <sheetName val="Герц32"/>
      <sheetName val="Герц34"/>
      <sheetName val="Герц36"/>
      <sheetName val="Данк2"/>
      <sheetName val="Данк6"/>
      <sheetName val="Данк12"/>
      <sheetName val="Данк14"/>
      <sheetName val="Данк20"/>
      <sheetName val="Данк22"/>
      <sheetName val="Данк34"/>
      <sheetName val="Кадр8"/>
      <sheetName val="Кадр 15"/>
      <sheetName val="Кадр16"/>
      <sheetName val="Кадр36 "/>
      <sheetName val="Кадр37а"/>
      <sheetName val="Кадр38"/>
      <sheetName val="Кадр41"/>
      <sheetName val="Кадр43"/>
      <sheetName val="Кадр49"/>
      <sheetName val="Карьер77"/>
      <sheetName val="Карьер79"/>
      <sheetName val="Карьер81"/>
      <sheetName val="Карьер83"/>
      <sheetName val="Китат14"/>
      <sheetName val="Крест44"/>
      <sheetName val="Крест48"/>
      <sheetName val="Крест50"/>
      <sheetName val="Крест52"/>
      <sheetName val="Крест54"/>
      <sheetName val="Крест59"/>
      <sheetName val="Крест61"/>
      <sheetName val="Крест63"/>
      <sheetName val="Крест65"/>
      <sheetName val="Крест67"/>
      <sheetName val="Крест68а"/>
      <sheetName val="Крест68б"/>
      <sheetName val="Крест69"/>
      <sheetName val="Крест71"/>
      <sheetName val="Крест73"/>
      <sheetName val="Крест77"/>
      <sheetName val="Крест82"/>
      <sheetName val="Крест84"/>
      <sheetName val="Крест86"/>
      <sheetName val="Крест88"/>
      <sheetName val="Межд22"/>
      <sheetName val="Межд75"/>
      <sheetName val="Мира1"/>
      <sheetName val="Мира1 Б"/>
      <sheetName val="Мира1 В"/>
      <sheetName val="Мира2"/>
      <sheetName val="Мира3"/>
      <sheetName val="Мира5"/>
      <sheetName val="Мира6"/>
      <sheetName val="Мира8"/>
      <sheetName val="Мира9"/>
      <sheetName val="Мира10"/>
      <sheetName val="Мира12"/>
      <sheetName val="Мира14"/>
      <sheetName val="Мира16"/>
      <sheetName val="Мира18"/>
      <sheetName val="Мира24"/>
      <sheetName val="Мира26"/>
      <sheetName val="Мира30"/>
      <sheetName val="Мира,31"/>
      <sheetName val="Мира32"/>
      <sheetName val="Мира,33"/>
      <sheetName val="Мира,35"/>
      <sheetName val="Мира,36"/>
      <sheetName val="Мира,37"/>
      <sheetName val="Мира,38"/>
      <sheetName val="Мира,39"/>
      <sheetName val="Мира,40"/>
      <sheetName val="Мира,41"/>
      <sheetName val="Мира,42"/>
      <sheetName val="Мира,43"/>
      <sheetName val="Мира,44"/>
      <sheetName val="Мира,45"/>
      <sheetName val="Мира,46"/>
      <sheetName val="Мира,47"/>
      <sheetName val="Парковая,1"/>
      <sheetName val="Парковая,2"/>
      <sheetName val="Парковая,2А"/>
      <sheetName val="Парковая,3"/>
      <sheetName val="Парковая,5"/>
      <sheetName val="Парковая,7"/>
      <sheetName val="Первомайская,29"/>
      <sheetName val="Первомайская,62"/>
      <sheetName val="Первомайская,64"/>
      <sheetName val="Первомайская,66"/>
      <sheetName val="Первомайская,68"/>
      <sheetName val="Первомайская,70"/>
      <sheetName val="Победы,1"/>
      <sheetName val="Победы,2"/>
      <sheetName val="Победы,3"/>
      <sheetName val="Тяжинская,1"/>
      <sheetName val="Тяжинская,3"/>
      <sheetName val="Химиков,6"/>
      <sheetName val="Химиков,8"/>
      <sheetName val="Химиков,10"/>
      <sheetName val="Химиков,13"/>
      <sheetName val="Химиков,15"/>
      <sheetName val="Химиков,16"/>
      <sheetName val="Химиков,17"/>
      <sheetName val="Химиков,19"/>
      <sheetName val="Химиков,21"/>
      <sheetName val="Химиков,22"/>
      <sheetName val="Химиков,23"/>
      <sheetName val="Химиков,24"/>
      <sheetName val="Химиков,26"/>
      <sheetName val="Химиков,28"/>
      <sheetName val="Химиков,30"/>
      <sheetName val="Химиков,36"/>
      <sheetName val="Химиков,38"/>
      <sheetName val="Химиков,40"/>
      <sheetName val="Химиков,42"/>
      <sheetName val="Химиков,44"/>
      <sheetName val="Химиков,46"/>
      <sheetName val="Химиков,48"/>
      <sheetName val="Химиков,50"/>
      <sheetName val="Химиков,52"/>
      <sheetName val="Химиков,54"/>
      <sheetName val="Шевченко,1"/>
      <sheetName val="Шевченко,2"/>
      <sheetName val="Шевченко,1Г"/>
      <sheetName val="Шевченко,1Д"/>
      <sheetName val="Шевченко,1Е"/>
      <sheetName val="Шевченко,1Ж"/>
      <sheetName val="Шевченко,1З"/>
      <sheetName val="Шевченко,4"/>
      <sheetName val="узл.уч.тэ"/>
      <sheetName val="сводная"/>
      <sheetName val="сводная (1)"/>
      <sheetName val="Каскад-Энерго"/>
      <sheetName val="сводная (остатки)"/>
      <sheetName val="сводная (К-Э)"/>
      <sheetName val="убор.S  (2010г.)"/>
      <sheetName val="убор.S  (2010г.)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I3">
            <v>14279</v>
          </cell>
        </row>
        <row r="6">
          <cell r="I6">
            <v>13876</v>
          </cell>
        </row>
        <row r="41">
          <cell r="C41">
            <v>7.21</v>
          </cell>
        </row>
        <row r="43">
          <cell r="C43">
            <v>5.91</v>
          </cell>
          <cell r="E43">
            <v>0.21</v>
          </cell>
        </row>
        <row r="44">
          <cell r="D44">
            <v>0.18030513176144244</v>
          </cell>
        </row>
        <row r="45">
          <cell r="C45">
            <v>1.3</v>
          </cell>
        </row>
        <row r="57">
          <cell r="C57">
            <v>1.53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2"/>
  <dimension ref="A2:U190"/>
  <sheetViews>
    <sheetView tabSelected="1" topLeftCell="A85" zoomScale="90" zoomScaleNormal="95" workbookViewId="0">
      <selection activeCell="B76" sqref="B76"/>
    </sheetView>
  </sheetViews>
  <sheetFormatPr defaultRowHeight="12.75"/>
  <cols>
    <col min="1" max="1" width="7.140625" customWidth="1"/>
    <col min="2" max="2" width="19.7109375" customWidth="1"/>
    <col min="3" max="3" width="8.7109375" customWidth="1"/>
    <col min="4" max="4" width="8.42578125" customWidth="1"/>
    <col min="5" max="5" width="7.140625" customWidth="1"/>
    <col min="6" max="6" width="7.85546875" customWidth="1"/>
    <col min="7" max="7" width="7" customWidth="1"/>
    <col min="8" max="8" width="8.7109375" customWidth="1"/>
    <col min="9" max="9" width="7.7109375" customWidth="1"/>
    <col min="10" max="10" width="7.5703125" customWidth="1"/>
    <col min="11" max="11" width="7.85546875" customWidth="1"/>
    <col min="12" max="12" width="8.140625" customWidth="1"/>
    <col min="13" max="13" width="8.85546875" customWidth="1"/>
    <col min="14" max="14" width="8.42578125" customWidth="1"/>
    <col min="15" max="15" width="7.7109375" customWidth="1"/>
    <col min="16" max="16" width="11" customWidth="1"/>
    <col min="17" max="17" width="10" customWidth="1"/>
    <col min="18" max="18" width="11" customWidth="1"/>
    <col min="19" max="19" width="9.7109375" customWidth="1"/>
    <col min="20" max="20" width="5.140625" customWidth="1"/>
    <col min="21" max="21" width="6.7109375" customWidth="1"/>
  </cols>
  <sheetData>
    <row r="2" spans="1:19">
      <c r="B2" s="12" t="s">
        <v>276</v>
      </c>
      <c r="C2" s="12"/>
      <c r="D2" s="12"/>
      <c r="E2" s="12"/>
      <c r="F2" s="12"/>
      <c r="G2" s="529" t="s">
        <v>275</v>
      </c>
      <c r="H2" t="s">
        <v>274</v>
      </c>
      <c r="L2" t="s">
        <v>273</v>
      </c>
      <c r="N2" t="s">
        <v>272</v>
      </c>
    </row>
    <row r="3" spans="1:19" ht="13.5" thickBot="1"/>
    <row r="4" spans="1:19" ht="13.5" thickBot="1">
      <c r="A4" s="39" t="s">
        <v>12</v>
      </c>
      <c r="B4" s="39"/>
      <c r="C4" s="277" t="s">
        <v>271</v>
      </c>
      <c r="D4" s="151" t="s">
        <v>270</v>
      </c>
      <c r="E4" s="528" t="s">
        <v>269</v>
      </c>
      <c r="F4" s="149" t="s">
        <v>268</v>
      </c>
      <c r="G4" s="125" t="s">
        <v>267</v>
      </c>
      <c r="H4" s="124"/>
      <c r="I4" s="123"/>
      <c r="J4" s="527"/>
      <c r="K4" s="526"/>
      <c r="L4" s="125" t="s">
        <v>266</v>
      </c>
      <c r="M4" s="123"/>
      <c r="N4" s="125" t="s">
        <v>265</v>
      </c>
      <c r="O4" s="124"/>
      <c r="P4" s="135"/>
      <c r="Q4" s="135"/>
      <c r="R4" s="135"/>
      <c r="S4" s="525"/>
    </row>
    <row r="5" spans="1:19" ht="13.5" thickBot="1">
      <c r="A5" s="259" t="s">
        <v>7</v>
      </c>
      <c r="B5" s="259" t="s">
        <v>264</v>
      </c>
      <c r="C5" s="275" t="s">
        <v>263</v>
      </c>
      <c r="D5" s="247"/>
      <c r="E5" s="521" t="s">
        <v>262</v>
      </c>
      <c r="F5" s="502" t="s">
        <v>261</v>
      </c>
      <c r="G5" s="39" t="s">
        <v>260</v>
      </c>
      <c r="H5" s="39" t="s">
        <v>252</v>
      </c>
      <c r="I5" s="39" t="s">
        <v>259</v>
      </c>
      <c r="J5" s="524"/>
      <c r="K5" s="521" t="s">
        <v>258</v>
      </c>
      <c r="L5" s="140" t="s">
        <v>257</v>
      </c>
      <c r="M5" s="151" t="s">
        <v>256</v>
      </c>
      <c r="N5" s="259"/>
      <c r="O5" s="247" t="s">
        <v>255</v>
      </c>
      <c r="P5" s="125" t="s">
        <v>254</v>
      </c>
      <c r="Q5" s="124"/>
      <c r="R5" s="124"/>
      <c r="S5" s="523"/>
    </row>
    <row r="6" spans="1:19">
      <c r="A6" s="259"/>
      <c r="B6" s="259"/>
      <c r="C6" s="275"/>
      <c r="D6" s="247"/>
      <c r="E6" s="521" t="s">
        <v>253</v>
      </c>
      <c r="F6" s="502"/>
      <c r="G6" s="259"/>
      <c r="H6" s="259"/>
      <c r="I6" s="259" t="s">
        <v>252</v>
      </c>
      <c r="J6" s="522"/>
      <c r="K6" s="521" t="s">
        <v>251</v>
      </c>
      <c r="L6" s="441"/>
      <c r="M6" s="247"/>
      <c r="N6" s="259" t="s">
        <v>250</v>
      </c>
      <c r="O6" s="259" t="s">
        <v>249</v>
      </c>
      <c r="P6" s="441" t="s">
        <v>248</v>
      </c>
      <c r="Q6" s="441" t="s">
        <v>247</v>
      </c>
      <c r="R6" s="441" t="s">
        <v>246</v>
      </c>
      <c r="S6" s="259" t="s">
        <v>245</v>
      </c>
    </row>
    <row r="7" spans="1:19" ht="13.5" thickBot="1">
      <c r="A7" s="32"/>
      <c r="B7" s="32"/>
      <c r="C7" s="520"/>
      <c r="D7" s="519"/>
      <c r="E7" s="27"/>
      <c r="F7" s="498" t="s">
        <v>15</v>
      </c>
      <c r="G7" s="32" t="s">
        <v>24</v>
      </c>
      <c r="H7" s="32" t="s">
        <v>24</v>
      </c>
      <c r="I7" s="27"/>
      <c r="J7" s="518"/>
      <c r="K7" s="517"/>
      <c r="L7" s="129"/>
      <c r="M7" s="499"/>
      <c r="N7" s="32">
        <v>790</v>
      </c>
      <c r="O7" s="32"/>
      <c r="P7" s="32">
        <v>3630</v>
      </c>
      <c r="Q7" s="129">
        <v>3630</v>
      </c>
      <c r="R7" s="32">
        <v>2340</v>
      </c>
      <c r="S7" s="32">
        <v>30000</v>
      </c>
    </row>
    <row r="8" spans="1:19" ht="15" customHeight="1">
      <c r="A8" s="467"/>
      <c r="B8" s="516" t="s">
        <v>244</v>
      </c>
      <c r="C8" s="515">
        <v>3</v>
      </c>
      <c r="D8" s="515">
        <v>1</v>
      </c>
      <c r="E8" s="515" t="s">
        <v>243</v>
      </c>
      <c r="F8" s="515">
        <v>592</v>
      </c>
      <c r="G8" s="515">
        <v>143.80000000000001</v>
      </c>
      <c r="H8" s="515">
        <v>72.2</v>
      </c>
      <c r="I8" s="515"/>
      <c r="J8" s="515"/>
      <c r="K8" s="515"/>
      <c r="L8" s="515" t="s">
        <v>242</v>
      </c>
      <c r="M8" s="515">
        <v>154</v>
      </c>
      <c r="N8" s="515">
        <v>0</v>
      </c>
      <c r="O8" s="514"/>
      <c r="P8" s="512">
        <v>0</v>
      </c>
      <c r="Q8" s="512">
        <v>0</v>
      </c>
      <c r="R8" s="505">
        <v>0</v>
      </c>
      <c r="S8" s="505">
        <v>0</v>
      </c>
    </row>
    <row r="9" spans="1:19" ht="12.75" customHeight="1">
      <c r="B9" s="513" t="s">
        <v>241</v>
      </c>
      <c r="C9" s="62"/>
      <c r="D9" s="62"/>
      <c r="E9" s="62"/>
      <c r="F9" s="62"/>
      <c r="G9" s="512"/>
      <c r="H9" s="62"/>
      <c r="I9" s="62"/>
      <c r="J9" s="62"/>
      <c r="K9" s="62"/>
      <c r="L9" s="62"/>
      <c r="M9" s="6"/>
      <c r="N9" s="487">
        <f>N8/N7</f>
        <v>0</v>
      </c>
      <c r="O9" s="466">
        <f>P9+Q9+R9+S9</f>
        <v>0</v>
      </c>
      <c r="P9" s="487">
        <f>P8/P7</f>
        <v>0</v>
      </c>
      <c r="Q9" s="487">
        <f>Q8/Q7</f>
        <v>0</v>
      </c>
      <c r="R9" s="487">
        <f>R8/R7</f>
        <v>0</v>
      </c>
      <c r="S9" s="487">
        <f>S8/S7</f>
        <v>0</v>
      </c>
    </row>
    <row r="10" spans="1:19" ht="13.5" thickBot="1"/>
    <row r="11" spans="1:19">
      <c r="C11" s="39" t="s">
        <v>240</v>
      </c>
      <c r="D11" s="277" t="s">
        <v>240</v>
      </c>
      <c r="E11" s="39" t="s">
        <v>239</v>
      </c>
      <c r="F11" s="136" t="s">
        <v>238</v>
      </c>
      <c r="G11" s="511"/>
      <c r="H11" s="39" t="s">
        <v>237</v>
      </c>
      <c r="Q11" s="502"/>
    </row>
    <row r="12" spans="1:19" ht="13.5" thickBot="1">
      <c r="C12" s="259" t="s">
        <v>236</v>
      </c>
      <c r="D12" s="275" t="s">
        <v>170</v>
      </c>
      <c r="E12" s="454" t="s">
        <v>235</v>
      </c>
      <c r="F12" s="510" t="s">
        <v>234</v>
      </c>
      <c r="G12" s="509"/>
      <c r="H12" s="259" t="s">
        <v>233</v>
      </c>
      <c r="Q12" s="502"/>
    </row>
    <row r="13" spans="1:19">
      <c r="C13" s="259" t="s">
        <v>232</v>
      </c>
      <c r="D13" s="275"/>
      <c r="E13" s="259"/>
      <c r="F13" s="33" t="s">
        <v>231</v>
      </c>
      <c r="G13" s="508" t="s">
        <v>230</v>
      </c>
      <c r="H13" s="259" t="s">
        <v>229</v>
      </c>
      <c r="Q13" s="507"/>
    </row>
    <row r="14" spans="1:19" ht="11.25" customHeight="1" thickBot="1">
      <c r="C14" s="32" t="s">
        <v>228</v>
      </c>
      <c r="D14" s="27"/>
      <c r="E14" s="32" t="s">
        <v>18</v>
      </c>
      <c r="F14" s="27"/>
      <c r="G14" s="130" t="s">
        <v>227</v>
      </c>
      <c r="H14" s="32" t="s">
        <v>226</v>
      </c>
      <c r="Q14" s="506"/>
    </row>
    <row r="15" spans="1:19">
      <c r="C15" s="505"/>
      <c r="D15" s="504"/>
      <c r="E15" s="491">
        <v>85</v>
      </c>
      <c r="F15" s="491">
        <v>1</v>
      </c>
      <c r="G15" s="491">
        <v>1.2</v>
      </c>
      <c r="H15" s="491"/>
    </row>
    <row r="16" spans="1:19">
      <c r="R16" s="503"/>
    </row>
    <row r="17" spans="1:21">
      <c r="B17" s="12" t="s">
        <v>225</v>
      </c>
    </row>
    <row r="18" spans="1:21" ht="13.5" thickBot="1"/>
    <row r="19" spans="1:21" ht="13.5" thickBot="1">
      <c r="A19" s="151"/>
      <c r="B19" s="149"/>
      <c r="C19" s="149"/>
      <c r="D19" s="125" t="s">
        <v>224</v>
      </c>
      <c r="E19" s="124"/>
      <c r="F19" s="124"/>
      <c r="G19" s="123"/>
      <c r="H19" s="39" t="s">
        <v>223</v>
      </c>
      <c r="I19" s="125" t="s">
        <v>222</v>
      </c>
      <c r="J19" s="124"/>
      <c r="K19" s="124"/>
      <c r="L19" s="124"/>
      <c r="M19" s="123"/>
      <c r="N19" s="39" t="s">
        <v>221</v>
      </c>
      <c r="O19" s="277"/>
    </row>
    <row r="20" spans="1:21" ht="13.5" thickBot="1">
      <c r="A20" s="247"/>
      <c r="B20" s="502" t="s">
        <v>220</v>
      </c>
      <c r="C20" s="502"/>
      <c r="D20" s="125" t="s">
        <v>219</v>
      </c>
      <c r="E20" s="123"/>
      <c r="F20" s="259" t="s">
        <v>218</v>
      </c>
      <c r="G20" s="501" t="s">
        <v>211</v>
      </c>
      <c r="H20" s="450" t="s">
        <v>212</v>
      </c>
      <c r="I20" s="140" t="s">
        <v>217</v>
      </c>
      <c r="J20" s="453" t="s">
        <v>216</v>
      </c>
      <c r="K20" s="454" t="s">
        <v>65</v>
      </c>
      <c r="L20" s="500" t="s">
        <v>215</v>
      </c>
      <c r="M20" s="500" t="s">
        <v>65</v>
      </c>
      <c r="N20" s="454" t="s">
        <v>214</v>
      </c>
      <c r="O20" s="454" t="s">
        <v>173</v>
      </c>
    </row>
    <row r="21" spans="1:21" ht="13.5" thickBot="1">
      <c r="A21" s="499"/>
      <c r="B21" s="498"/>
      <c r="C21" s="498"/>
      <c r="D21" s="32"/>
      <c r="E21" s="497"/>
      <c r="F21" s="32" t="s">
        <v>66</v>
      </c>
      <c r="G21" s="496" t="s">
        <v>213</v>
      </c>
      <c r="H21" s="493"/>
      <c r="I21" s="495" t="s">
        <v>212</v>
      </c>
      <c r="J21" s="130"/>
      <c r="K21" s="27"/>
      <c r="L21" s="27"/>
      <c r="M21" s="494" t="s">
        <v>211</v>
      </c>
      <c r="N21" s="493"/>
      <c r="O21" s="27" t="s">
        <v>210</v>
      </c>
    </row>
    <row r="22" spans="1:21">
      <c r="A22" s="492"/>
      <c r="B22" s="467" t="s">
        <v>209</v>
      </c>
      <c r="C22" s="488"/>
      <c r="D22" s="488"/>
      <c r="E22" s="467"/>
      <c r="F22" s="486"/>
      <c r="G22" s="70"/>
      <c r="H22" s="467"/>
      <c r="I22" s="491"/>
      <c r="J22" s="491"/>
      <c r="K22" s="491"/>
      <c r="L22" s="467"/>
      <c r="M22" s="467"/>
      <c r="N22" s="467"/>
      <c r="O22" s="70"/>
      <c r="P22" s="423"/>
      <c r="R22" s="50"/>
      <c r="S22" s="50"/>
      <c r="T22" s="50"/>
    </row>
    <row r="23" spans="1:21">
      <c r="A23" s="467"/>
      <c r="B23" s="465" t="s">
        <v>207</v>
      </c>
      <c r="C23" s="488"/>
      <c r="D23" s="491"/>
      <c r="E23" s="467"/>
      <c r="F23" s="486"/>
      <c r="G23" s="60"/>
      <c r="H23" s="465"/>
      <c r="I23" s="475"/>
      <c r="J23" s="475"/>
      <c r="K23" s="472"/>
      <c r="L23" s="489"/>
      <c r="M23" s="489"/>
      <c r="N23" s="490"/>
      <c r="O23" s="60"/>
      <c r="P23" s="423"/>
      <c r="R23" s="50"/>
      <c r="S23" s="50"/>
      <c r="T23" s="50"/>
    </row>
    <row r="24" spans="1:21">
      <c r="A24" s="425"/>
      <c r="B24" s="465" t="s">
        <v>209</v>
      </c>
      <c r="C24" s="488">
        <v>143.80000000000001</v>
      </c>
      <c r="D24" s="488"/>
      <c r="E24" s="466">
        <f>'[1]сод. 1р.,слес'!C41</f>
        <v>7.21</v>
      </c>
      <c r="F24" s="486">
        <f>C24*E24</f>
        <v>1036.798</v>
      </c>
      <c r="G24" s="60"/>
      <c r="H24" s="465"/>
      <c r="I24" s="481"/>
      <c r="J24" s="475"/>
      <c r="K24" s="475"/>
      <c r="L24" s="489"/>
      <c r="M24" s="489"/>
      <c r="N24" s="489">
        <f>'[1]сод. 1р.,слес'!C45</f>
        <v>1.3</v>
      </c>
      <c r="O24" s="60"/>
      <c r="P24" s="427">
        <f>N26+O26</f>
        <v>1036.798</v>
      </c>
      <c r="Q24" t="s">
        <v>208</v>
      </c>
      <c r="R24" s="50"/>
      <c r="S24" s="50"/>
      <c r="T24" s="50"/>
    </row>
    <row r="25" spans="1:21">
      <c r="A25" s="425"/>
      <c r="B25" s="465" t="s">
        <v>207</v>
      </c>
      <c r="C25" s="488">
        <v>0</v>
      </c>
      <c r="D25" s="487"/>
      <c r="E25" s="466">
        <v>0</v>
      </c>
      <c r="F25" s="486">
        <f>C25*E25</f>
        <v>0</v>
      </c>
      <c r="G25" s="60"/>
      <c r="H25" s="465"/>
      <c r="I25" s="481"/>
      <c r="J25" s="485"/>
      <c r="K25" s="484"/>
      <c r="L25" s="465"/>
      <c r="M25" s="465"/>
      <c r="N25" s="466"/>
      <c r="O25" s="465"/>
      <c r="P25" s="50">
        <f>O26*12</f>
        <v>10198.296</v>
      </c>
      <c r="Q25" t="s">
        <v>206</v>
      </c>
      <c r="R25" s="50"/>
      <c r="S25" s="50"/>
      <c r="T25" s="50"/>
    </row>
    <row r="26" spans="1:21">
      <c r="A26" s="483" t="s">
        <v>48</v>
      </c>
      <c r="B26" s="482"/>
      <c r="C26" s="480">
        <f>SUM(C22:C25)</f>
        <v>143.80000000000001</v>
      </c>
      <c r="D26" s="173"/>
      <c r="E26" s="465"/>
      <c r="F26" s="474">
        <f>SUM(F22:F25)</f>
        <v>1036.798</v>
      </c>
      <c r="G26" s="473"/>
      <c r="H26" s="173">
        <v>0</v>
      </c>
      <c r="I26" s="481">
        <f>'[1]сод. 1р.,слес'!C43</f>
        <v>5.91</v>
      </c>
      <c r="J26" s="480">
        <f>C26</f>
        <v>143.80000000000001</v>
      </c>
      <c r="K26" s="478">
        <f>I26*J26</f>
        <v>849.85800000000006</v>
      </c>
      <c r="L26" s="479"/>
      <c r="M26" s="478"/>
      <c r="N26" s="479">
        <f>C26*N24</f>
        <v>186.94000000000003</v>
      </c>
      <c r="O26" s="478">
        <f>K26</f>
        <v>849.85800000000006</v>
      </c>
      <c r="P26" s="477">
        <f>O26/G8</f>
        <v>5.91</v>
      </c>
      <c r="Q26" s="477">
        <f>N24+P26</f>
        <v>7.21</v>
      </c>
      <c r="S26" s="476"/>
      <c r="T26" s="476"/>
      <c r="U26" s="476"/>
    </row>
    <row r="27" spans="1:21">
      <c r="A27" s="465"/>
      <c r="B27" s="465"/>
      <c r="C27" s="465"/>
      <c r="D27" s="465"/>
      <c r="E27" s="465"/>
      <c r="F27" s="474"/>
      <c r="G27" s="473"/>
      <c r="H27" s="473"/>
      <c r="I27" s="475"/>
      <c r="J27" s="471"/>
      <c r="K27" s="469"/>
      <c r="L27" s="470"/>
      <c r="M27" s="469"/>
      <c r="N27" s="470"/>
      <c r="O27" s="469"/>
      <c r="P27" s="468"/>
    </row>
    <row r="28" spans="1:21">
      <c r="A28" s="50"/>
      <c r="C28" s="50"/>
      <c r="D28" s="77"/>
      <c r="E28" s="77"/>
      <c r="F28" s="474"/>
      <c r="G28" s="473"/>
      <c r="H28" s="473"/>
      <c r="I28" s="472"/>
      <c r="J28" s="471"/>
      <c r="K28" s="469"/>
      <c r="L28" s="470"/>
      <c r="M28" s="469"/>
      <c r="N28" s="470"/>
      <c r="O28" s="469"/>
      <c r="P28" s="468"/>
    </row>
    <row r="29" spans="1:21">
      <c r="A29" s="50"/>
      <c r="C29" s="50"/>
      <c r="D29" s="77"/>
      <c r="E29" s="77"/>
      <c r="F29" s="465"/>
      <c r="G29" s="225"/>
      <c r="H29" s="465"/>
      <c r="I29" s="467"/>
      <c r="J29" s="465"/>
      <c r="K29" s="466">
        <f>K26/J26</f>
        <v>5.91</v>
      </c>
      <c r="L29" s="465" t="s">
        <v>205</v>
      </c>
      <c r="M29" s="465"/>
      <c r="N29" s="465"/>
      <c r="O29" s="465"/>
    </row>
    <row r="30" spans="1:21">
      <c r="A30" s="50"/>
      <c r="C30" s="50"/>
      <c r="D30" s="77"/>
      <c r="E30" s="77"/>
      <c r="F30" s="77"/>
      <c r="G30" s="464"/>
      <c r="H30" s="77"/>
      <c r="I30" s="50"/>
      <c r="J30" s="463"/>
      <c r="K30" s="50"/>
      <c r="L30" s="50"/>
      <c r="M30" s="462">
        <f>L26/K26</f>
        <v>0</v>
      </c>
      <c r="N30" s="461">
        <f>L27/K26</f>
        <v>0</v>
      </c>
      <c r="O30" s="461">
        <f>L28/K26</f>
        <v>0</v>
      </c>
      <c r="P30" s="50"/>
    </row>
    <row r="31" spans="1:21" ht="13.5" thickBot="1">
      <c r="A31" s="50"/>
      <c r="B31" s="1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21" ht="13.5" thickBot="1">
      <c r="A32" s="125" t="s">
        <v>204</v>
      </c>
      <c r="B32" s="124"/>
      <c r="C32" s="124"/>
      <c r="D32" s="124"/>
      <c r="E32" s="123"/>
      <c r="F32" s="125" t="s">
        <v>203</v>
      </c>
      <c r="G32" s="124"/>
      <c r="H32" s="124"/>
      <c r="I32" s="124"/>
      <c r="J32" s="124"/>
      <c r="K32" s="124"/>
      <c r="L32" s="124"/>
      <c r="M32" s="123"/>
      <c r="N32" s="39"/>
      <c r="O32" s="39"/>
      <c r="P32" s="39"/>
      <c r="Q32" s="39"/>
      <c r="R32" s="140"/>
      <c r="S32" s="280"/>
    </row>
    <row r="33" spans="1:21">
      <c r="A33" s="39" t="s">
        <v>202</v>
      </c>
      <c r="B33" s="39" t="s">
        <v>201</v>
      </c>
      <c r="C33" s="460" t="s">
        <v>200</v>
      </c>
      <c r="D33" s="459"/>
      <c r="E33" s="34" t="s">
        <v>199</v>
      </c>
      <c r="F33" s="139" t="s">
        <v>198</v>
      </c>
      <c r="G33" s="458" t="s">
        <v>197</v>
      </c>
      <c r="H33" s="39" t="s">
        <v>196</v>
      </c>
      <c r="I33" s="277" t="s">
        <v>195</v>
      </c>
      <c r="J33" s="39" t="s">
        <v>191</v>
      </c>
      <c r="K33" s="457" t="s">
        <v>194</v>
      </c>
      <c r="L33" s="139" t="s">
        <v>193</v>
      </c>
      <c r="M33" s="151" t="s">
        <v>192</v>
      </c>
      <c r="N33" s="259" t="s">
        <v>191</v>
      </c>
      <c r="O33" s="259" t="s">
        <v>190</v>
      </c>
      <c r="P33" s="447" t="s">
        <v>189</v>
      </c>
      <c r="Q33" s="259"/>
      <c r="R33" s="441" t="s">
        <v>188</v>
      </c>
      <c r="S33" s="50"/>
      <c r="T33" s="50"/>
      <c r="U33" s="50"/>
    </row>
    <row r="34" spans="1:21" ht="13.5" thickBot="1">
      <c r="A34" s="259" t="s">
        <v>187</v>
      </c>
      <c r="B34" s="259" t="s">
        <v>186</v>
      </c>
      <c r="C34" s="456">
        <f>'[1]сод. 1р.,слес'!C57</f>
        <v>1.53</v>
      </c>
      <c r="D34" s="455" t="s">
        <v>185</v>
      </c>
      <c r="E34" s="450" t="s">
        <v>184</v>
      </c>
      <c r="F34" s="259" t="s">
        <v>183</v>
      </c>
      <c r="G34" s="275" t="s">
        <v>182</v>
      </c>
      <c r="H34" s="259" t="s">
        <v>181</v>
      </c>
      <c r="I34" s="259" t="s">
        <v>180</v>
      </c>
      <c r="J34" s="454" t="s">
        <v>179</v>
      </c>
      <c r="K34" s="275"/>
      <c r="L34" s="272" t="s">
        <v>178</v>
      </c>
      <c r="M34" s="273" t="s">
        <v>177</v>
      </c>
      <c r="N34" s="259" t="s">
        <v>176</v>
      </c>
      <c r="O34" s="454" t="s">
        <v>175</v>
      </c>
      <c r="P34" s="454" t="s">
        <v>174</v>
      </c>
      <c r="Q34" s="454" t="s">
        <v>173</v>
      </c>
      <c r="R34" s="453" t="s">
        <v>172</v>
      </c>
      <c r="S34" s="50"/>
      <c r="T34" s="77"/>
      <c r="U34" s="77"/>
    </row>
    <row r="35" spans="1:21">
      <c r="A35" s="259"/>
      <c r="B35" s="259"/>
      <c r="C35" s="33" t="s">
        <v>171</v>
      </c>
      <c r="D35" s="34" t="s">
        <v>170</v>
      </c>
      <c r="E35" s="259" t="s">
        <v>169</v>
      </c>
      <c r="F35" s="446"/>
      <c r="G35" s="445" t="s">
        <v>168</v>
      </c>
      <c r="H35" s="272" t="s">
        <v>167</v>
      </c>
      <c r="I35" s="452"/>
      <c r="J35" s="275" t="s">
        <v>166</v>
      </c>
      <c r="K35" s="443" t="s">
        <v>165</v>
      </c>
      <c r="L35" s="443" t="s">
        <v>164</v>
      </c>
      <c r="M35" s="451" t="s">
        <v>163</v>
      </c>
      <c r="N35" s="443" t="s">
        <v>162</v>
      </c>
      <c r="O35" s="450" t="s">
        <v>161</v>
      </c>
      <c r="P35" s="448" t="s">
        <v>160</v>
      </c>
      <c r="Q35" s="442"/>
      <c r="R35" s="441" t="s">
        <v>159</v>
      </c>
      <c r="S35" s="50"/>
      <c r="T35" s="50"/>
      <c r="U35" s="50"/>
    </row>
    <row r="36" spans="1:21">
      <c r="A36" s="449">
        <f>O9</f>
        <v>0</v>
      </c>
      <c r="B36" s="445">
        <f>N9</f>
        <v>0</v>
      </c>
      <c r="C36" s="448"/>
      <c r="D36" s="447"/>
      <c r="E36" s="259" t="s">
        <v>158</v>
      </c>
      <c r="F36" s="446">
        <f>0.56</f>
        <v>0.56000000000000005</v>
      </c>
      <c r="G36" s="445">
        <f>2.3*1.18</f>
        <v>2.7139999999999995</v>
      </c>
      <c r="H36" s="275" t="s">
        <v>157</v>
      </c>
      <c r="I36" s="122" t="s">
        <v>156</v>
      </c>
      <c r="J36" s="443" t="s">
        <v>155</v>
      </c>
      <c r="K36" s="443" t="s">
        <v>154</v>
      </c>
      <c r="L36" s="443" t="s">
        <v>153</v>
      </c>
      <c r="M36" s="444" t="s">
        <v>152</v>
      </c>
      <c r="N36" s="443" t="s">
        <v>151</v>
      </c>
      <c r="O36" s="442"/>
      <c r="P36" s="275"/>
      <c r="Q36" s="442"/>
      <c r="R36" s="441"/>
      <c r="S36" s="50"/>
      <c r="T36" s="50"/>
      <c r="U36" s="50"/>
    </row>
    <row r="37" spans="1:21" ht="13.5" thickBot="1">
      <c r="A37" s="32"/>
      <c r="B37" s="32"/>
      <c r="C37" s="440"/>
      <c r="D37" s="439"/>
      <c r="E37" s="32"/>
      <c r="F37" s="438"/>
      <c r="G37" s="437"/>
      <c r="H37" s="435" t="s">
        <v>150</v>
      </c>
      <c r="I37" s="435" t="s">
        <v>149</v>
      </c>
      <c r="J37" s="435" t="s">
        <v>148</v>
      </c>
      <c r="K37" s="435" t="s">
        <v>147</v>
      </c>
      <c r="L37" s="435" t="s">
        <v>146</v>
      </c>
      <c r="M37" s="436" t="s">
        <v>145</v>
      </c>
      <c r="N37" s="435" t="s">
        <v>144</v>
      </c>
      <c r="O37" s="434" t="s">
        <v>143</v>
      </c>
      <c r="P37" s="27"/>
      <c r="Q37" s="434"/>
      <c r="R37" s="130"/>
      <c r="S37" s="50"/>
      <c r="T37" s="50"/>
      <c r="U37" s="50"/>
    </row>
    <row r="38" spans="1:21">
      <c r="A38" s="430">
        <f>A36*'[1]сод. 1р.,слес'!I3</f>
        <v>0</v>
      </c>
      <c r="B38" s="430">
        <f>B36*'[1]сод. 1р.,слес'!I6</f>
        <v>0</v>
      </c>
      <c r="C38" s="432">
        <f>0.1*C15*D8*3991*C34/12</f>
        <v>0</v>
      </c>
      <c r="D38" s="432">
        <f>0.25*D15*3991*C34/12</f>
        <v>0</v>
      </c>
      <c r="E38" s="432">
        <f>'[1]сод. 1р.,слес'!E43*G8</f>
        <v>30.198</v>
      </c>
      <c r="F38" s="430"/>
      <c r="G38" s="432"/>
      <c r="H38" s="430"/>
      <c r="I38" s="433"/>
      <c r="J38" s="430"/>
      <c r="K38" s="430"/>
      <c r="L38" s="430"/>
      <c r="M38" s="430"/>
      <c r="N38" s="432"/>
      <c r="O38" s="431"/>
      <c r="P38" s="430"/>
      <c r="Q38" s="429">
        <f>SUM(A38:P38)</f>
        <v>30.198</v>
      </c>
      <c r="R38" s="428">
        <f>O26-Q38</f>
        <v>819.66000000000008</v>
      </c>
      <c r="S38" s="427">
        <f>SUM(Q38:R38)</f>
        <v>849.85800000000006</v>
      </c>
      <c r="T38" s="426"/>
      <c r="U38" s="271"/>
    </row>
    <row r="39" spans="1:21">
      <c r="A39" s="425"/>
      <c r="B39" s="425"/>
      <c r="C39" s="425"/>
      <c r="D39" s="425"/>
      <c r="E39" s="425"/>
      <c r="F39" s="425"/>
      <c r="G39" s="425"/>
      <c r="H39" s="424"/>
      <c r="I39" s="425"/>
      <c r="J39" s="104"/>
      <c r="K39" s="425"/>
      <c r="L39" s="425"/>
      <c r="M39" s="425"/>
      <c r="N39" s="425"/>
      <c r="O39" s="425"/>
      <c r="P39" s="425"/>
      <c r="Q39" s="425"/>
      <c r="R39" s="424"/>
      <c r="S39" s="423"/>
      <c r="T39" s="50"/>
      <c r="U39" s="50"/>
    </row>
    <row r="40" spans="1:21">
      <c r="A40" s="422" t="s">
        <v>142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0"/>
      <c r="S40" s="50"/>
      <c r="T40" s="419"/>
      <c r="U40" s="419"/>
    </row>
    <row r="41" spans="1:21">
      <c r="A41" s="417">
        <f>A38/G8</f>
        <v>0</v>
      </c>
      <c r="B41" s="417">
        <f>B38/G8</f>
        <v>0</v>
      </c>
      <c r="C41" s="418">
        <f>C38/G8</f>
        <v>0</v>
      </c>
      <c r="D41" s="418">
        <f>D38/G8</f>
        <v>0</v>
      </c>
      <c r="E41" s="417">
        <f>E38/G8</f>
        <v>0.21</v>
      </c>
      <c r="F41" s="418">
        <f>F38/G8</f>
        <v>0</v>
      </c>
      <c r="G41" s="418">
        <f>G38/G8</f>
        <v>0</v>
      </c>
      <c r="H41" s="418">
        <f>H38/G8</f>
        <v>0</v>
      </c>
      <c r="I41" s="418">
        <f>I38/G8</f>
        <v>0</v>
      </c>
      <c r="J41" s="418">
        <f>J38/G8</f>
        <v>0</v>
      </c>
      <c r="K41" s="418">
        <f>K38/G8</f>
        <v>0</v>
      </c>
      <c r="L41" s="418">
        <f>L38/G8</f>
        <v>0</v>
      </c>
      <c r="M41" s="418">
        <f>M38/G8</f>
        <v>0</v>
      </c>
      <c r="N41" s="418">
        <f>N38/G8</f>
        <v>0</v>
      </c>
      <c r="O41" s="418">
        <f>O38/G8</f>
        <v>0</v>
      </c>
      <c r="P41" s="417">
        <f>P38/G8</f>
        <v>0</v>
      </c>
      <c r="Q41" s="417">
        <f>SUM(A41:P41)</f>
        <v>0.21</v>
      </c>
      <c r="R41" s="416">
        <f>R38/G8</f>
        <v>5.7</v>
      </c>
      <c r="S41" s="412">
        <f>SUM(Q41:R41)</f>
        <v>5.91</v>
      </c>
      <c r="T41" s="415"/>
      <c r="U41" s="412"/>
    </row>
    <row r="43" spans="1:21">
      <c r="B43" s="414"/>
      <c r="C43" s="413"/>
      <c r="S43" s="412"/>
    </row>
    <row r="44" spans="1:21">
      <c r="C44" s="12"/>
    </row>
    <row r="45" spans="1:21">
      <c r="C45" s="12"/>
    </row>
    <row r="46" spans="1:21">
      <c r="C46" s="12"/>
    </row>
    <row r="48" spans="1:21" ht="12.75" hidden="1" customHeight="1"/>
    <row r="49" spans="1:20" ht="18" hidden="1" customHeight="1">
      <c r="A49" s="343"/>
      <c r="B49" s="411" t="s">
        <v>141</v>
      </c>
      <c r="C49" s="411"/>
      <c r="D49" s="411"/>
      <c r="E49" s="411"/>
      <c r="F49" s="411"/>
      <c r="G49" s="411"/>
      <c r="H49" s="411"/>
      <c r="I49" s="411"/>
      <c r="J49" s="410" t="str">
        <f>B8</f>
        <v>ул.Шевченко 1ж</v>
      </c>
      <c r="K49" s="409"/>
      <c r="L49" s="343"/>
      <c r="M49" s="343"/>
      <c r="N49" s="343"/>
      <c r="O49" s="343"/>
      <c r="P49" s="343"/>
      <c r="Q49" s="343"/>
      <c r="R49" s="343"/>
      <c r="S49" s="343"/>
      <c r="T49" s="343"/>
    </row>
    <row r="50" spans="1:20" ht="13.5" hidden="1" customHeight="1" thickBot="1">
      <c r="A50" s="343"/>
      <c r="B50" s="408" t="s">
        <v>140</v>
      </c>
      <c r="C50" s="408"/>
      <c r="D50" s="408"/>
      <c r="E50" s="408"/>
      <c r="F50" s="408"/>
      <c r="G50" s="408"/>
      <c r="H50" s="408"/>
      <c r="I50" s="408"/>
      <c r="J50" s="408"/>
      <c r="K50" s="408"/>
      <c r="L50" s="343"/>
      <c r="M50" s="343"/>
      <c r="N50" s="343"/>
      <c r="O50" s="343"/>
      <c r="P50" s="343"/>
      <c r="Q50" s="343"/>
      <c r="R50" s="343"/>
      <c r="S50" s="343"/>
      <c r="T50" s="343"/>
    </row>
    <row r="51" spans="1:20" ht="12.75" hidden="1" customHeight="1">
      <c r="A51" s="407" t="s">
        <v>139</v>
      </c>
      <c r="B51" s="353" t="s">
        <v>138</v>
      </c>
      <c r="C51" s="352" t="s">
        <v>102</v>
      </c>
      <c r="D51" s="316"/>
      <c r="E51" s="316"/>
      <c r="F51" s="316"/>
      <c r="G51" s="316"/>
      <c r="H51" s="316"/>
      <c r="I51" s="316"/>
      <c r="J51" s="316"/>
      <c r="K51" s="406"/>
      <c r="L51" s="341"/>
      <c r="M51" s="341"/>
      <c r="N51" s="405"/>
      <c r="O51" s="343"/>
      <c r="P51" s="343"/>
      <c r="Q51" s="343"/>
      <c r="R51" s="343"/>
      <c r="S51" s="343"/>
      <c r="T51" s="343"/>
    </row>
    <row r="52" spans="1:20" ht="12.75" hidden="1" customHeight="1">
      <c r="A52" s="390"/>
      <c r="B52" s="404" t="s">
        <v>137</v>
      </c>
      <c r="C52" s="403">
        <f>E15</f>
        <v>85</v>
      </c>
      <c r="D52" s="402" t="s">
        <v>136</v>
      </c>
      <c r="E52" s="401"/>
      <c r="F52" s="401"/>
      <c r="G52" s="401"/>
      <c r="H52" s="400">
        <f>1.42/100*E15*1.45</f>
        <v>1.7501499999999997</v>
      </c>
      <c r="I52" s="308" t="s">
        <v>97</v>
      </c>
      <c r="J52" s="400">
        <v>82.472508933408619</v>
      </c>
      <c r="K52" s="300" t="s">
        <v>135</v>
      </c>
      <c r="L52" s="399">
        <f>H52</f>
        <v>1.7501499999999997</v>
      </c>
      <c r="M52" s="300" t="s">
        <v>95</v>
      </c>
      <c r="N52" s="398">
        <v>0</v>
      </c>
      <c r="O52" s="343"/>
      <c r="P52" s="343"/>
      <c r="Q52" s="343"/>
      <c r="R52" s="343"/>
      <c r="S52" s="343"/>
      <c r="T52" s="343"/>
    </row>
    <row r="53" spans="1:20" ht="12.75" hidden="1" customHeight="1">
      <c r="A53" s="390"/>
      <c r="B53" s="397" t="s">
        <v>134</v>
      </c>
      <c r="C53" s="396" t="s">
        <v>133</v>
      </c>
      <c r="D53" s="6">
        <v>0</v>
      </c>
      <c r="E53" s="395" t="s">
        <v>132</v>
      </c>
      <c r="F53" s="394">
        <v>0</v>
      </c>
      <c r="G53" s="395" t="s">
        <v>131</v>
      </c>
      <c r="H53" s="394"/>
      <c r="I53" s="395" t="s">
        <v>130</v>
      </c>
      <c r="J53" s="394">
        <v>2</v>
      </c>
      <c r="K53" s="395" t="s">
        <v>129</v>
      </c>
      <c r="L53" s="394">
        <v>1</v>
      </c>
      <c r="M53" s="62" t="s">
        <v>27</v>
      </c>
      <c r="N53" s="393">
        <f>D53+F53+H53+J53+L53</f>
        <v>3</v>
      </c>
      <c r="O53" s="343"/>
      <c r="P53" s="343"/>
      <c r="Q53" s="343"/>
      <c r="R53" s="343"/>
      <c r="S53" s="343"/>
      <c r="T53" s="343"/>
    </row>
    <row r="54" spans="1:20" ht="12.75" hidden="1" customHeight="1">
      <c r="A54" s="390"/>
      <c r="B54" s="342" t="s">
        <v>128</v>
      </c>
      <c r="C54" s="392" t="s">
        <v>127</v>
      </c>
      <c r="D54" s="376">
        <f>D53</f>
        <v>0</v>
      </c>
      <c r="E54" s="376" t="s">
        <v>126</v>
      </c>
      <c r="F54" s="376">
        <f>F53</f>
        <v>0</v>
      </c>
      <c r="G54" s="376" t="s">
        <v>125</v>
      </c>
      <c r="H54" s="376">
        <f>H53</f>
        <v>0</v>
      </c>
      <c r="I54" s="376" t="s">
        <v>124</v>
      </c>
      <c r="J54" s="376">
        <f>J53</f>
        <v>2</v>
      </c>
      <c r="K54" s="376" t="s">
        <v>123</v>
      </c>
      <c r="L54" s="376">
        <f>L53</f>
        <v>1</v>
      </c>
      <c r="M54" s="292" t="s">
        <v>95</v>
      </c>
      <c r="N54" s="391">
        <f>(5+1)*D53+(4+1)*F53+(3+1)*H53+(2+1)*J53+(1+1)*L53</f>
        <v>8</v>
      </c>
      <c r="O54" s="343" t="s">
        <v>122</v>
      </c>
      <c r="P54" s="343"/>
      <c r="Q54" s="343"/>
      <c r="R54" s="343"/>
      <c r="S54" s="343"/>
      <c r="T54" s="343"/>
    </row>
    <row r="55" spans="1:20" ht="12.75" hidden="1" customHeight="1">
      <c r="A55" s="390"/>
      <c r="B55" s="389" t="s">
        <v>121</v>
      </c>
      <c r="C55" s="388" t="s">
        <v>120</v>
      </c>
      <c r="D55" s="387"/>
      <c r="E55" s="370" t="s">
        <v>119</v>
      </c>
      <c r="F55" s="369">
        <f>N54</f>
        <v>8</v>
      </c>
      <c r="G55" s="368" t="s">
        <v>109</v>
      </c>
      <c r="H55" s="328">
        <f>0.012*N54</f>
        <v>9.6000000000000002E-2</v>
      </c>
      <c r="I55" s="366">
        <v>61.79</v>
      </c>
      <c r="J55" s="330" t="s">
        <v>79</v>
      </c>
      <c r="K55" s="331">
        <f>H55</f>
        <v>9.6000000000000002E-2</v>
      </c>
      <c r="L55" s="331" t="s">
        <v>108</v>
      </c>
      <c r="M55" s="330" t="s">
        <v>107</v>
      </c>
      <c r="N55" s="326">
        <f>I55*H55*1.18</f>
        <v>6.9995712000000001</v>
      </c>
      <c r="O55" s="386">
        <f>N54/D8</f>
        <v>8</v>
      </c>
      <c r="P55" s="343" t="s">
        <v>118</v>
      </c>
      <c r="Q55" s="343"/>
      <c r="R55" s="343"/>
      <c r="S55" s="343"/>
      <c r="T55" s="343"/>
    </row>
    <row r="56" spans="1:20" ht="12.75" hidden="1" customHeight="1">
      <c r="A56" s="372"/>
      <c r="B56" s="384" t="s">
        <v>117</v>
      </c>
      <c r="C56" s="383" t="s">
        <v>116</v>
      </c>
      <c r="D56" s="382"/>
      <c r="E56" s="385" t="s">
        <v>115</v>
      </c>
      <c r="F56" s="369">
        <f>N54</f>
        <v>8</v>
      </c>
      <c r="G56" s="368" t="s">
        <v>109</v>
      </c>
      <c r="H56" s="328">
        <f>0.012*N54</f>
        <v>9.6000000000000002E-2</v>
      </c>
      <c r="I56" s="366">
        <v>63.46</v>
      </c>
      <c r="J56" s="330" t="s">
        <v>79</v>
      </c>
      <c r="K56" s="331">
        <f>H56</f>
        <v>9.6000000000000002E-2</v>
      </c>
      <c r="L56" s="331" t="s">
        <v>108</v>
      </c>
      <c r="M56" s="330" t="s">
        <v>107</v>
      </c>
      <c r="N56" s="326">
        <f>I56*H56*1.18</f>
        <v>7.1887487999999991</v>
      </c>
      <c r="O56" s="343"/>
      <c r="P56" s="343"/>
      <c r="Q56" s="343"/>
      <c r="R56" s="343"/>
      <c r="S56" s="343"/>
      <c r="T56" s="343"/>
    </row>
    <row r="57" spans="1:20" ht="12.75" hidden="1" customHeight="1">
      <c r="A57" s="372"/>
      <c r="B57" s="384" t="s">
        <v>114</v>
      </c>
      <c r="C57" s="383" t="s">
        <v>113</v>
      </c>
      <c r="D57" s="382"/>
      <c r="E57" s="370" t="s">
        <v>112</v>
      </c>
      <c r="F57" s="369">
        <f>N54</f>
        <v>8</v>
      </c>
      <c r="G57" s="368" t="s">
        <v>109</v>
      </c>
      <c r="H57" s="328">
        <f>0.024*N54</f>
        <v>0.192</v>
      </c>
      <c r="I57" s="366">
        <v>61.43</v>
      </c>
      <c r="J57" s="330" t="s">
        <v>79</v>
      </c>
      <c r="K57" s="331">
        <f>H57</f>
        <v>0.192</v>
      </c>
      <c r="L57" s="331" t="s">
        <v>108</v>
      </c>
      <c r="M57" s="330" t="s">
        <v>107</v>
      </c>
      <c r="N57" s="326">
        <f>I57*H57*1.18</f>
        <v>13.9175808</v>
      </c>
      <c r="O57" s="343"/>
      <c r="P57" s="343"/>
      <c r="Q57" s="343"/>
      <c r="R57" s="343"/>
      <c r="S57" s="343"/>
      <c r="T57" s="343"/>
    </row>
    <row r="58" spans="1:20" ht="12.75" hidden="1" customHeight="1">
      <c r="A58" s="372"/>
      <c r="B58" s="381"/>
      <c r="C58" s="380" t="s">
        <v>111</v>
      </c>
      <c r="D58" s="328"/>
      <c r="E58" s="370" t="s">
        <v>110</v>
      </c>
      <c r="F58" s="369">
        <f>N54</f>
        <v>8</v>
      </c>
      <c r="G58" s="368" t="s">
        <v>109</v>
      </c>
      <c r="H58" s="328">
        <f>0.08*N54</f>
        <v>0.64</v>
      </c>
      <c r="I58" s="366">
        <v>76.28</v>
      </c>
      <c r="J58" s="330" t="s">
        <v>79</v>
      </c>
      <c r="K58" s="331">
        <f>H58</f>
        <v>0.64</v>
      </c>
      <c r="L58" s="331" t="s">
        <v>108</v>
      </c>
      <c r="M58" s="330" t="s">
        <v>107</v>
      </c>
      <c r="N58" s="326">
        <f>I58*K58*1.18</f>
        <v>57.606656000000001</v>
      </c>
      <c r="O58" s="343"/>
      <c r="P58" s="343"/>
      <c r="Q58" s="343"/>
      <c r="R58" s="343"/>
      <c r="S58" s="343"/>
      <c r="T58" s="343"/>
    </row>
    <row r="59" spans="1:20" ht="12.75" hidden="1" customHeight="1">
      <c r="A59" s="372"/>
      <c r="B59" s="379" t="s">
        <v>48</v>
      </c>
      <c r="C59" s="378"/>
      <c r="D59" s="374"/>
      <c r="E59" s="377"/>
      <c r="F59" s="376"/>
      <c r="G59" s="375"/>
      <c r="H59" s="374"/>
      <c r="I59" s="373"/>
      <c r="J59" s="291"/>
      <c r="K59" s="293"/>
      <c r="L59" s="293"/>
      <c r="M59" s="291"/>
      <c r="N59" s="290">
        <f>SUM(N55:N58)+N52</f>
        <v>85.712556800000002</v>
      </c>
      <c r="O59" s="343"/>
      <c r="P59" s="343"/>
      <c r="Q59" s="343"/>
      <c r="R59" s="343"/>
      <c r="S59" s="343"/>
      <c r="T59" s="343"/>
    </row>
    <row r="60" spans="1:20" ht="12.75" hidden="1" customHeight="1">
      <c r="A60" s="372"/>
      <c r="B60" s="371" t="s">
        <v>106</v>
      </c>
      <c r="C60" s="328"/>
      <c r="D60" s="328"/>
      <c r="E60" s="370"/>
      <c r="F60" s="369"/>
      <c r="G60" s="368"/>
      <c r="H60" s="367">
        <f>H52/C52</f>
        <v>2.0589999999999997E-2</v>
      </c>
      <c r="I60" s="366"/>
      <c r="J60" s="330"/>
      <c r="K60" s="331"/>
      <c r="L60" s="331"/>
      <c r="M60" s="330"/>
      <c r="N60" s="326"/>
      <c r="O60" s="343"/>
      <c r="P60" s="343"/>
      <c r="Q60" s="343"/>
      <c r="R60" s="343"/>
      <c r="S60" s="343"/>
      <c r="T60" s="343"/>
    </row>
    <row r="61" spans="1:20" ht="13.5" hidden="1" customHeight="1" thickBot="1">
      <c r="A61" s="365"/>
      <c r="B61" s="364" t="s">
        <v>105</v>
      </c>
      <c r="C61" s="363"/>
      <c r="D61" s="363"/>
      <c r="E61" s="362"/>
      <c r="F61" s="361"/>
      <c r="G61" s="360"/>
      <c r="H61" s="359">
        <f>(N55+N56+N57+N58)/E15</f>
        <v>1.0083830211764706</v>
      </c>
      <c r="I61" s="358"/>
      <c r="J61" s="356"/>
      <c r="K61" s="357"/>
      <c r="L61" s="357"/>
      <c r="M61" s="356"/>
      <c r="N61" s="355"/>
      <c r="O61" s="343"/>
      <c r="P61" s="343"/>
      <c r="Q61" s="343"/>
      <c r="R61" s="343"/>
      <c r="S61" s="343"/>
      <c r="T61" s="343"/>
    </row>
    <row r="62" spans="1:20" ht="12.75" hidden="1" customHeight="1">
      <c r="A62" s="354" t="s">
        <v>104</v>
      </c>
      <c r="B62" s="353" t="s">
        <v>103</v>
      </c>
      <c r="C62" s="352" t="s">
        <v>102</v>
      </c>
      <c r="D62" s="351"/>
      <c r="E62" s="316"/>
      <c r="F62" s="316"/>
      <c r="G62" s="316"/>
      <c r="H62" s="316"/>
      <c r="I62" s="316"/>
      <c r="J62" s="316"/>
      <c r="K62" s="350"/>
      <c r="L62" s="341"/>
      <c r="M62" s="341"/>
      <c r="N62" s="349"/>
      <c r="O62" s="343"/>
      <c r="P62" s="343"/>
      <c r="Q62" s="343"/>
      <c r="R62" s="343"/>
      <c r="S62" s="343"/>
      <c r="T62" s="343"/>
    </row>
    <row r="63" spans="1:20" ht="12.75" hidden="1" customHeight="1">
      <c r="A63" s="294" t="s">
        <v>101</v>
      </c>
      <c r="B63" s="322" t="s">
        <v>100</v>
      </c>
      <c r="C63" s="348">
        <f>E15</f>
        <v>85</v>
      </c>
      <c r="D63" s="347" t="s">
        <v>99</v>
      </c>
      <c r="E63" s="346"/>
      <c r="F63" s="331">
        <f>E15</f>
        <v>85</v>
      </c>
      <c r="G63" s="330" t="s">
        <v>98</v>
      </c>
      <c r="H63" s="345">
        <f>7.82/100*E15*1.45</f>
        <v>9.6381499999999996</v>
      </c>
      <c r="I63" s="328" t="s">
        <v>97</v>
      </c>
      <c r="J63" s="332">
        <v>82.472508933408619</v>
      </c>
      <c r="K63" s="331" t="s">
        <v>96</v>
      </c>
      <c r="L63" s="344">
        <f>H63</f>
        <v>9.6381499999999996</v>
      </c>
      <c r="M63" s="331" t="s">
        <v>95</v>
      </c>
      <c r="N63" s="326">
        <v>0</v>
      </c>
      <c r="O63" s="343"/>
      <c r="P63" s="343"/>
      <c r="Q63" s="343"/>
      <c r="R63" s="343"/>
      <c r="S63" s="343"/>
      <c r="T63" s="343"/>
    </row>
    <row r="64" spans="1:20" ht="12.75" hidden="1" customHeight="1">
      <c r="A64" s="294" t="s">
        <v>94</v>
      </c>
      <c r="B64" s="342" t="s">
        <v>93</v>
      </c>
      <c r="C64" s="316"/>
      <c r="D64" s="316"/>
      <c r="E64" s="341" t="s">
        <v>92</v>
      </c>
      <c r="F64" s="341"/>
      <c r="G64" s="341"/>
      <c r="H64" s="340">
        <v>5.7</v>
      </c>
      <c r="I64" s="316" t="s">
        <v>91</v>
      </c>
      <c r="J64" s="319"/>
      <c r="K64" s="316"/>
      <c r="L64" s="317"/>
      <c r="M64" s="316"/>
      <c r="N64" s="315"/>
      <c r="O64" s="339" t="s">
        <v>90</v>
      </c>
      <c r="P64" s="338"/>
      <c r="Q64" s="337" t="s">
        <v>89</v>
      </c>
      <c r="R64" s="336"/>
      <c r="S64" s="335"/>
      <c r="T64" s="334"/>
    </row>
    <row r="65" spans="1:20" ht="12.75" hidden="1" customHeight="1">
      <c r="A65" s="294" t="s">
        <v>88</v>
      </c>
      <c r="B65" s="333" t="s">
        <v>87</v>
      </c>
      <c r="C65" s="330">
        <v>1.3</v>
      </c>
      <c r="D65" s="328" t="s">
        <v>86</v>
      </c>
      <c r="E65" s="328"/>
      <c r="F65" s="332"/>
      <c r="G65" s="331"/>
      <c r="H65" s="329">
        <f>C65/100*E15*0.2</f>
        <v>0.22100000000000006</v>
      </c>
      <c r="I65" s="328" t="s">
        <v>21</v>
      </c>
      <c r="J65" s="330" t="s">
        <v>85</v>
      </c>
      <c r="K65" s="329">
        <f>H65</f>
        <v>0.22100000000000006</v>
      </c>
      <c r="L65" s="328" t="s">
        <v>84</v>
      </c>
      <c r="M65" s="327">
        <f>5.7*H65</f>
        <v>1.2597000000000003</v>
      </c>
      <c r="N65" s="326">
        <f>19*M65+0.03*120*5.7*H65</f>
        <v>28.469220000000007</v>
      </c>
      <c r="O65" s="325">
        <v>41</v>
      </c>
      <c r="P65" s="324"/>
      <c r="Q65" s="324">
        <v>1.32</v>
      </c>
      <c r="R65" s="324"/>
      <c r="S65" s="295"/>
      <c r="T65" s="295"/>
    </row>
    <row r="66" spans="1:20" ht="12.75" hidden="1" customHeight="1">
      <c r="A66" s="314"/>
      <c r="B66" s="323" t="s">
        <v>83</v>
      </c>
      <c r="C66" s="322"/>
      <c r="D66" s="318"/>
      <c r="E66" s="318"/>
      <c r="F66" s="319"/>
      <c r="G66" s="321" t="s">
        <v>82</v>
      </c>
      <c r="H66" s="320"/>
      <c r="I66" s="318"/>
      <c r="J66" s="319"/>
      <c r="K66" s="318"/>
      <c r="L66" s="317"/>
      <c r="M66" s="316"/>
      <c r="N66" s="315"/>
      <c r="O66" s="283">
        <v>50</v>
      </c>
      <c r="P66" s="282"/>
      <c r="Q66" s="282">
        <v>1.9630000000000001</v>
      </c>
      <c r="R66" s="282"/>
      <c r="S66" s="295"/>
      <c r="T66" s="295"/>
    </row>
    <row r="67" spans="1:20" ht="13.5" hidden="1" customHeight="1" thickBot="1">
      <c r="A67" s="314"/>
      <c r="B67" s="313" t="s">
        <v>81</v>
      </c>
      <c r="C67" s="312"/>
      <c r="D67" s="308">
        <v>5.1529999999999996</v>
      </c>
      <c r="E67" s="308" t="s">
        <v>80</v>
      </c>
      <c r="F67" s="311"/>
      <c r="G67" s="310"/>
      <c r="H67" s="309">
        <f>D67*E15/1000</f>
        <v>0.43800499999999992</v>
      </c>
      <c r="I67" s="308" t="s">
        <v>15</v>
      </c>
      <c r="J67" s="307">
        <v>76.28</v>
      </c>
      <c r="K67" s="298" t="s">
        <v>79</v>
      </c>
      <c r="L67" s="306">
        <f>H67</f>
        <v>0.43800499999999992</v>
      </c>
      <c r="M67" s="300" t="s">
        <v>78</v>
      </c>
      <c r="N67" s="297">
        <f>J67*H67*1.18</f>
        <v>39.425005251999991</v>
      </c>
      <c r="O67" s="283">
        <v>69</v>
      </c>
      <c r="P67" s="282"/>
      <c r="Q67" s="305">
        <v>3.7389999999999999</v>
      </c>
      <c r="R67" s="305"/>
      <c r="S67" s="295"/>
      <c r="T67" s="295"/>
    </row>
    <row r="68" spans="1:20" ht="13.5" hidden="1" customHeight="1" thickBot="1">
      <c r="A68" s="294"/>
      <c r="B68" s="298" t="s">
        <v>48</v>
      </c>
      <c r="C68" s="300"/>
      <c r="D68" s="300"/>
      <c r="E68" s="300"/>
      <c r="F68" s="300"/>
      <c r="G68" s="300"/>
      <c r="H68" s="300"/>
      <c r="I68" s="300"/>
      <c r="J68" s="300"/>
      <c r="K68" s="299"/>
      <c r="L68" s="298"/>
      <c r="M68" s="298"/>
      <c r="N68" s="297">
        <f>SUM(N63:N67)</f>
        <v>67.894225251999998</v>
      </c>
      <c r="O68" s="283">
        <v>81</v>
      </c>
      <c r="P68" s="304"/>
      <c r="Q68" s="303">
        <v>5.1529999999999996</v>
      </c>
      <c r="R68" s="302"/>
      <c r="S68" s="295"/>
      <c r="T68" s="295"/>
    </row>
    <row r="69" spans="1:20" ht="12.75" hidden="1" customHeight="1">
      <c r="A69" s="294"/>
      <c r="B69" s="301" t="s">
        <v>77</v>
      </c>
      <c r="C69" s="300"/>
      <c r="D69" s="300"/>
      <c r="E69" s="300"/>
      <c r="F69" s="300"/>
      <c r="G69" s="300"/>
      <c r="H69" s="300"/>
      <c r="I69" s="300"/>
      <c r="J69" s="300"/>
      <c r="K69" s="299"/>
      <c r="L69" s="298"/>
      <c r="M69" s="298"/>
      <c r="N69" s="297">
        <f>N59+N68</f>
        <v>153.606782052</v>
      </c>
      <c r="O69" s="283">
        <v>100</v>
      </c>
      <c r="P69" s="282"/>
      <c r="Q69" s="296">
        <v>7.8540000000000001</v>
      </c>
      <c r="R69" s="296"/>
      <c r="S69" s="295"/>
      <c r="T69" s="295"/>
    </row>
    <row r="70" spans="1:20" ht="12.75" hidden="1" customHeight="1">
      <c r="A70" s="294"/>
      <c r="B70" s="291" t="s">
        <v>76</v>
      </c>
      <c r="C70" s="293"/>
      <c r="D70" s="293"/>
      <c r="E70" s="293"/>
      <c r="F70" s="293"/>
      <c r="G70" s="293"/>
      <c r="H70" s="293"/>
      <c r="I70" s="293"/>
      <c r="J70" s="293"/>
      <c r="K70" s="292"/>
      <c r="L70" s="291"/>
      <c r="M70" s="291"/>
      <c r="N70" s="290">
        <f>0.05*N69</f>
        <v>7.6803391026000005</v>
      </c>
      <c r="O70" s="283">
        <v>125</v>
      </c>
      <c r="P70" s="282"/>
      <c r="Q70" s="282">
        <v>12.21</v>
      </c>
      <c r="R70" s="282"/>
      <c r="S70" s="281"/>
      <c r="T70" s="281"/>
    </row>
    <row r="71" spans="1:20" ht="13.5" hidden="1" customHeight="1" thickBot="1">
      <c r="A71" s="289"/>
      <c r="B71" s="288" t="s">
        <v>48</v>
      </c>
      <c r="C71" s="287"/>
      <c r="D71" s="287"/>
      <c r="E71" s="287"/>
      <c r="F71" s="287"/>
      <c r="G71" s="287"/>
      <c r="H71" s="287"/>
      <c r="I71" s="287"/>
      <c r="J71" s="287"/>
      <c r="K71" s="286"/>
      <c r="L71" s="285"/>
      <c r="M71" s="285"/>
      <c r="N71" s="284">
        <f>SUM(N69:N70)</f>
        <v>161.28712115459999</v>
      </c>
      <c r="O71" s="283">
        <v>150</v>
      </c>
      <c r="P71" s="282"/>
      <c r="Q71" s="282">
        <v>17.670000000000002</v>
      </c>
      <c r="R71" s="282"/>
      <c r="S71" s="281"/>
      <c r="T71" s="281"/>
    </row>
    <row r="72" spans="1:20" ht="12.75" hidden="1" customHeight="1">
      <c r="N72" s="280"/>
    </row>
    <row r="73" spans="1:20" ht="13.5" thickBot="1">
      <c r="N73" s="280"/>
    </row>
    <row r="74" spans="1:20" ht="13.5" thickBot="1">
      <c r="B74" s="39"/>
      <c r="C74" s="125" t="s">
        <v>55</v>
      </c>
      <c r="D74" s="124"/>
      <c r="E74" s="124"/>
      <c r="F74" s="124"/>
      <c r="G74" s="124"/>
      <c r="H74" s="124"/>
      <c r="I74" s="123"/>
      <c r="J74" s="148" t="s">
        <v>75</v>
      </c>
      <c r="K74" s="147"/>
      <c r="L74" s="147"/>
      <c r="M74" s="147"/>
      <c r="N74" s="147"/>
      <c r="O74" s="147"/>
      <c r="P74" s="147"/>
      <c r="Q74" s="146"/>
      <c r="R74" s="145" t="s">
        <v>53</v>
      </c>
      <c r="S74" s="144"/>
    </row>
    <row r="75" spans="1:20" ht="13.5" thickBot="1">
      <c r="B75" s="275"/>
      <c r="C75" s="279" t="s">
        <v>74</v>
      </c>
      <c r="D75" s="278"/>
      <c r="E75" s="277" t="s">
        <v>73</v>
      </c>
      <c r="F75" s="39" t="s">
        <v>51</v>
      </c>
      <c r="G75" s="139" t="s">
        <v>50</v>
      </c>
      <c r="H75" s="138" t="s">
        <v>49</v>
      </c>
      <c r="I75" s="137" t="s">
        <v>48</v>
      </c>
      <c r="J75" s="138" t="s">
        <v>72</v>
      </c>
      <c r="K75" s="139" t="s">
        <v>71</v>
      </c>
      <c r="L75" s="276" t="s">
        <v>70</v>
      </c>
      <c r="M75" s="125" t="s">
        <v>69</v>
      </c>
      <c r="N75" s="124"/>
      <c r="O75" s="124"/>
      <c r="P75" s="124"/>
      <c r="Q75" s="123"/>
      <c r="R75" s="134" t="s">
        <v>46</v>
      </c>
      <c r="S75" s="133"/>
    </row>
    <row r="76" spans="1:20" ht="13.5" thickBot="1">
      <c r="B76" s="275"/>
      <c r="C76" s="274" t="s">
        <v>68</v>
      </c>
      <c r="D76" s="131" t="s">
        <v>67</v>
      </c>
      <c r="E76" s="27"/>
      <c r="F76" s="32" t="s">
        <v>45</v>
      </c>
      <c r="G76" s="128" t="s">
        <v>45</v>
      </c>
      <c r="H76" s="127" t="s">
        <v>45</v>
      </c>
      <c r="I76" s="126"/>
      <c r="J76" s="273" t="s">
        <v>66</v>
      </c>
      <c r="K76" s="272" t="s">
        <v>65</v>
      </c>
      <c r="L76" s="271" t="s">
        <v>64</v>
      </c>
      <c r="M76" s="125" t="s">
        <v>44</v>
      </c>
      <c r="N76" s="124"/>
      <c r="O76" s="124"/>
      <c r="P76" s="123"/>
      <c r="Q76" s="150" t="s">
        <v>43</v>
      </c>
      <c r="R76" s="122" t="s">
        <v>42</v>
      </c>
      <c r="S76" s="270" t="s">
        <v>41</v>
      </c>
    </row>
    <row r="77" spans="1:20" ht="13.5" thickBot="1">
      <c r="B77" s="269" t="s">
        <v>63</v>
      </c>
      <c r="C77" s="268"/>
      <c r="D77" s="267"/>
      <c r="E77" s="264"/>
      <c r="F77" s="266"/>
      <c r="G77" s="265"/>
      <c r="H77" s="265"/>
      <c r="I77" s="264"/>
      <c r="J77" s="260"/>
      <c r="K77" s="261"/>
      <c r="L77" s="261"/>
      <c r="M77" s="263"/>
      <c r="N77" s="263"/>
      <c r="O77" s="263"/>
      <c r="P77" s="263"/>
      <c r="Q77" s="262"/>
      <c r="R77" s="261">
        <v>5347</v>
      </c>
      <c r="S77" s="260">
        <v>5730</v>
      </c>
    </row>
    <row r="78" spans="1:20">
      <c r="B78" s="259" t="s">
        <v>35</v>
      </c>
      <c r="C78" s="61">
        <f>F26</f>
        <v>1036.798</v>
      </c>
      <c r="D78" s="61">
        <f>H26</f>
        <v>0</v>
      </c>
      <c r="E78" s="68">
        <f>SUM(C78:D78)</f>
        <v>1036.798</v>
      </c>
      <c r="F78" s="226">
        <v>1036.8</v>
      </c>
      <c r="G78" s="218">
        <v>495.92</v>
      </c>
      <c r="H78" s="203">
        <f>0+0+D78</f>
        <v>0</v>
      </c>
      <c r="I78" s="225">
        <f>F78+H78</f>
        <v>1036.8</v>
      </c>
      <c r="J78" s="216">
        <f>I80</f>
        <v>849.85963938973646</v>
      </c>
      <c r="K78" s="215">
        <f>Q38</f>
        <v>30.198</v>
      </c>
      <c r="L78" s="214">
        <f>J78-K78</f>
        <v>819.66163938973648</v>
      </c>
      <c r="M78" s="258"/>
      <c r="N78" s="82"/>
      <c r="O78" s="82"/>
      <c r="P78" s="244"/>
      <c r="Q78" s="245"/>
      <c r="R78" s="213"/>
      <c r="S78" s="212"/>
    </row>
    <row r="79" spans="1:20">
      <c r="B79" s="251" t="s">
        <v>59</v>
      </c>
      <c r="C79" s="206">
        <f>C78*'[1]сод. 1р.,слес'!D44</f>
        <v>186.94</v>
      </c>
      <c r="D79" s="206">
        <f>D78*'[1]сод. 1р.,слес'!D44</f>
        <v>0</v>
      </c>
      <c r="E79" s="10">
        <f>SUM(C79:D79)</f>
        <v>186.94</v>
      </c>
      <c r="F79" s="208">
        <f>F78*'[1]сод. 1р.,слес'!D44</f>
        <v>186.94036061026353</v>
      </c>
      <c r="G79" s="207">
        <f>G78*'[1]сод. 1р.,слес'!D44</f>
        <v>89.416920943134542</v>
      </c>
      <c r="H79" s="206">
        <f>H78*'[1]сод. 1р.,слес'!D44</f>
        <v>0</v>
      </c>
      <c r="I79" s="257">
        <f>F79+H79</f>
        <v>186.94036061026353</v>
      </c>
      <c r="J79" s="204"/>
      <c r="K79" s="203"/>
      <c r="L79" s="243">
        <f>G80+H80-K78</f>
        <v>376.30507905686551</v>
      </c>
      <c r="M79" s="11"/>
      <c r="N79" s="62"/>
      <c r="O79" s="62"/>
      <c r="P79" s="242"/>
      <c r="Q79" s="11"/>
      <c r="R79" s="201"/>
      <c r="S79" s="200"/>
    </row>
    <row r="80" spans="1:20" ht="13.5" thickBot="1">
      <c r="B80" s="253" t="s">
        <v>56</v>
      </c>
      <c r="C80" s="194">
        <f>C78-C79</f>
        <v>849.85799999999995</v>
      </c>
      <c r="D80" s="194">
        <f>D78-D79</f>
        <v>0</v>
      </c>
      <c r="E80" s="196">
        <f>E78-E79</f>
        <v>849.85799999999995</v>
      </c>
      <c r="F80" s="249">
        <f>F78-F79</f>
        <v>849.85963938973646</v>
      </c>
      <c r="G80" s="195">
        <f>G78-G79</f>
        <v>406.50307905686549</v>
      </c>
      <c r="H80" s="194">
        <f>H78-H79</f>
        <v>0</v>
      </c>
      <c r="I80" s="256">
        <f>F80+H80</f>
        <v>849.85963938973646</v>
      </c>
      <c r="J80" s="192"/>
      <c r="K80" s="191"/>
      <c r="L80" s="191" t="s">
        <v>28</v>
      </c>
      <c r="M80" s="241"/>
      <c r="N80" s="189"/>
      <c r="O80" s="189"/>
      <c r="P80" s="240"/>
      <c r="Q80" s="248">
        <f>SUM(Q78:Q79)</f>
        <v>0</v>
      </c>
      <c r="R80" s="236">
        <f>L78-Q80</f>
        <v>819.66163938973648</v>
      </c>
      <c r="S80" s="235">
        <f>L79-Q80</f>
        <v>376.30507905686551</v>
      </c>
    </row>
    <row r="81" spans="2:19">
      <c r="B81" s="39" t="s">
        <v>26</v>
      </c>
      <c r="C81" s="252">
        <f>C78</f>
        <v>1036.798</v>
      </c>
      <c r="D81" s="252">
        <f>D78</f>
        <v>0</v>
      </c>
      <c r="E81" s="255">
        <f>E78</f>
        <v>1036.798</v>
      </c>
      <c r="F81" s="226">
        <v>1036.8</v>
      </c>
      <c r="G81" s="218">
        <v>674.84</v>
      </c>
      <c r="H81" s="203">
        <f>0+0+D81</f>
        <v>0</v>
      </c>
      <c r="I81" s="225">
        <f>F81+H81</f>
        <v>1036.8</v>
      </c>
      <c r="J81" s="216">
        <f>I83</f>
        <v>849.85963938973646</v>
      </c>
      <c r="K81" s="215">
        <f>Q38</f>
        <v>30.198</v>
      </c>
      <c r="L81" s="214">
        <f>J81-K81</f>
        <v>819.66163938973648</v>
      </c>
      <c r="M81" s="233" t="s">
        <v>61</v>
      </c>
      <c r="N81" s="73"/>
      <c r="O81" s="73"/>
      <c r="P81" s="254"/>
      <c r="Q81" s="233">
        <v>609</v>
      </c>
      <c r="R81" s="224"/>
      <c r="S81" s="223"/>
    </row>
    <row r="82" spans="2:19">
      <c r="B82" s="251" t="s">
        <v>59</v>
      </c>
      <c r="C82" s="206">
        <f>C79</f>
        <v>186.94</v>
      </c>
      <c r="D82" s="206">
        <f>D79</f>
        <v>0</v>
      </c>
      <c r="E82" s="10">
        <f>SUM(C82:D82)</f>
        <v>186.94</v>
      </c>
      <c r="F82" s="208">
        <f>F81*'[1]сод. 1р.,слес'!D44</f>
        <v>186.94036061026353</v>
      </c>
      <c r="G82" s="207">
        <f>G81*'[1]сод. 1р.,слес'!D44</f>
        <v>121.67711511789183</v>
      </c>
      <c r="H82" s="206">
        <f>H81*'[1]сод. 1р.,слес'!D44</f>
        <v>0</v>
      </c>
      <c r="I82" s="205">
        <f>F82+H82</f>
        <v>186.94036061026353</v>
      </c>
      <c r="J82" s="204"/>
      <c r="K82" s="203"/>
      <c r="L82" s="243">
        <f>G83+H83-K81</f>
        <v>522.96488488210821</v>
      </c>
      <c r="M82" s="11"/>
      <c r="N82" s="62"/>
      <c r="O82" s="62"/>
      <c r="P82" s="242"/>
      <c r="Q82" s="11"/>
      <c r="R82" s="201"/>
      <c r="S82" s="200"/>
    </row>
    <row r="83" spans="2:19" ht="13.5" thickBot="1">
      <c r="B83" s="253" t="s">
        <v>56</v>
      </c>
      <c r="C83" s="194">
        <f>C81-C82</f>
        <v>849.85799999999995</v>
      </c>
      <c r="D83" s="194">
        <f>D81-D82</f>
        <v>0</v>
      </c>
      <c r="E83" s="196">
        <f>E81-E82</f>
        <v>849.85799999999995</v>
      </c>
      <c r="F83" s="249">
        <f>F81-F82</f>
        <v>849.85963938973646</v>
      </c>
      <c r="G83" s="195">
        <f>G81-G82</f>
        <v>553.16288488210819</v>
      </c>
      <c r="H83" s="194">
        <f>H81-H82</f>
        <v>0</v>
      </c>
      <c r="I83" s="227">
        <f>F83+H83</f>
        <v>849.85963938973646</v>
      </c>
      <c r="J83" s="192"/>
      <c r="K83" s="191"/>
      <c r="L83" s="191" t="s">
        <v>28</v>
      </c>
      <c r="M83" s="241"/>
      <c r="N83" s="189"/>
      <c r="O83" s="189"/>
      <c r="P83" s="240"/>
      <c r="Q83" s="248">
        <f>SUM(Q81:Q82)</f>
        <v>609</v>
      </c>
      <c r="R83" s="236">
        <f>L81-Q83</f>
        <v>210.66163938973648</v>
      </c>
      <c r="S83" s="235">
        <f>L82-Q83</f>
        <v>-86.035115117891792</v>
      </c>
    </row>
    <row r="84" spans="2:19">
      <c r="B84" s="39" t="s">
        <v>62</v>
      </c>
      <c r="C84" s="252">
        <f>C78</f>
        <v>1036.798</v>
      </c>
      <c r="D84" s="252">
        <f>D78</f>
        <v>0</v>
      </c>
      <c r="E84" s="252">
        <f>E78</f>
        <v>1036.798</v>
      </c>
      <c r="F84" s="226">
        <v>1036.8</v>
      </c>
      <c r="G84" s="218">
        <v>988.34</v>
      </c>
      <c r="H84" s="203">
        <f>0+0+D84</f>
        <v>0</v>
      </c>
      <c r="I84" s="225">
        <f>F84+H84</f>
        <v>1036.8</v>
      </c>
      <c r="J84" s="216">
        <f>I86</f>
        <v>849.85963938973646</v>
      </c>
      <c r="K84" s="215">
        <f>Q38</f>
        <v>30.198</v>
      </c>
      <c r="L84" s="214">
        <f>J84-K84</f>
        <v>819.66163938973648</v>
      </c>
      <c r="M84" s="245"/>
      <c r="N84" s="82"/>
      <c r="O84" s="82"/>
      <c r="P84" s="244"/>
      <c r="Q84" s="245"/>
      <c r="R84" s="213"/>
      <c r="S84" s="212"/>
    </row>
    <row r="85" spans="2:19">
      <c r="B85" s="251" t="s">
        <v>59</v>
      </c>
      <c r="C85" s="206">
        <f>C82</f>
        <v>186.94</v>
      </c>
      <c r="D85" s="206">
        <f>D82</f>
        <v>0</v>
      </c>
      <c r="E85" s="10">
        <f>SUM(C85:D85)</f>
        <v>186.94</v>
      </c>
      <c r="F85" s="208">
        <f>F84*'[1]сод. 1р.,слес'!D44</f>
        <v>186.94036061026353</v>
      </c>
      <c r="G85" s="207">
        <f>G84*'[1]сод. 1р.,слес'!D44</f>
        <v>178.20277392510403</v>
      </c>
      <c r="H85" s="206">
        <f>H84*'[1]сод. 1р.,слес'!D44</f>
        <v>0</v>
      </c>
      <c r="I85" s="205">
        <f>F85+H85</f>
        <v>186.94036061026353</v>
      </c>
      <c r="J85" s="204"/>
      <c r="K85" s="203"/>
      <c r="L85" s="243">
        <f>G86+H86-K84</f>
        <v>779.93922607489606</v>
      </c>
      <c r="M85" s="11"/>
      <c r="N85" s="62"/>
      <c r="O85" s="62"/>
      <c r="P85" s="242"/>
      <c r="Q85" s="11"/>
      <c r="R85" s="201"/>
      <c r="S85" s="200"/>
    </row>
    <row r="86" spans="2:19" ht="13.5" thickBot="1">
      <c r="B86" s="253" t="s">
        <v>56</v>
      </c>
      <c r="C86" s="194">
        <f>C84-C85</f>
        <v>849.85799999999995</v>
      </c>
      <c r="D86" s="194">
        <f>D84-D85</f>
        <v>0</v>
      </c>
      <c r="E86" s="196">
        <f>E84-E85</f>
        <v>849.85799999999995</v>
      </c>
      <c r="F86" s="249">
        <f>F84-F85</f>
        <v>849.85963938973646</v>
      </c>
      <c r="G86" s="195">
        <f>G84-G85</f>
        <v>810.13722607489603</v>
      </c>
      <c r="H86" s="194">
        <f>H84-H85</f>
        <v>0</v>
      </c>
      <c r="I86" s="227">
        <f>F86+H86</f>
        <v>849.85963938973646</v>
      </c>
      <c r="J86" s="192"/>
      <c r="K86" s="191"/>
      <c r="L86" s="191" t="s">
        <v>28</v>
      </c>
      <c r="M86" s="241"/>
      <c r="N86" s="189"/>
      <c r="O86" s="189"/>
      <c r="P86" s="240"/>
      <c r="Q86" s="248">
        <f>SUM(Q84:Q85)</f>
        <v>0</v>
      </c>
      <c r="R86" s="236">
        <f>L84-Q86</f>
        <v>819.66163938973648</v>
      </c>
      <c r="S86" s="235">
        <f>L85-Q86</f>
        <v>779.93922607489606</v>
      </c>
    </row>
    <row r="87" spans="2:19">
      <c r="B87" s="39" t="s">
        <v>23</v>
      </c>
      <c r="C87" s="252">
        <f>C78</f>
        <v>1036.798</v>
      </c>
      <c r="D87" s="252">
        <f>D81</f>
        <v>0</v>
      </c>
      <c r="E87" s="252">
        <f>E81</f>
        <v>1036.798</v>
      </c>
      <c r="F87" s="226">
        <v>1036.8</v>
      </c>
      <c r="G87" s="218">
        <v>1039.21</v>
      </c>
      <c r="H87" s="203">
        <f>0+0+D87</f>
        <v>0</v>
      </c>
      <c r="I87" s="225">
        <f>F87+H87</f>
        <v>1036.8</v>
      </c>
      <c r="J87" s="216">
        <f>I89</f>
        <v>849.85963938973646</v>
      </c>
      <c r="K87" s="215">
        <f>Q38</f>
        <v>30.198</v>
      </c>
      <c r="L87" s="214">
        <f>J87-K87</f>
        <v>819.66163938973648</v>
      </c>
      <c r="M87" s="245" t="s">
        <v>61</v>
      </c>
      <c r="N87" s="82"/>
      <c r="O87" s="82"/>
      <c r="P87" s="244"/>
      <c r="Q87" s="245">
        <v>299</v>
      </c>
      <c r="R87" s="213"/>
      <c r="S87" s="212"/>
    </row>
    <row r="88" spans="2:19">
      <c r="B88" s="251" t="s">
        <v>59</v>
      </c>
      <c r="C88" s="206">
        <f>C85</f>
        <v>186.94</v>
      </c>
      <c r="D88" s="206">
        <f>D85</f>
        <v>0</v>
      </c>
      <c r="E88" s="10">
        <f>SUM(C88:D88)</f>
        <v>186.94</v>
      </c>
      <c r="F88" s="208">
        <f>F87*'[1]сод. 1р.,слес'!D44</f>
        <v>186.94036061026353</v>
      </c>
      <c r="G88" s="207">
        <f>G87*'[1]сод. 1р.,слес'!D44</f>
        <v>187.37489597780862</v>
      </c>
      <c r="H88" s="206">
        <f>H87*'[1]сод. 1р.,слес'!D44</f>
        <v>0</v>
      </c>
      <c r="I88" s="205">
        <f>F88+H88</f>
        <v>186.94036061026353</v>
      </c>
      <c r="J88" s="204"/>
      <c r="K88" s="203"/>
      <c r="L88" s="243">
        <f>G89+H89-K87</f>
        <v>821.63710402219147</v>
      </c>
      <c r="M88" s="11"/>
      <c r="N88" s="62"/>
      <c r="O88" s="62"/>
      <c r="P88" s="242"/>
      <c r="Q88" s="11"/>
      <c r="R88" s="201"/>
      <c r="S88" s="200"/>
    </row>
    <row r="89" spans="2:19" ht="13.5" thickBot="1">
      <c r="B89" s="250" t="s">
        <v>56</v>
      </c>
      <c r="C89" s="194">
        <f>C87-C88</f>
        <v>849.85799999999995</v>
      </c>
      <c r="D89" s="194">
        <f>D87-D88</f>
        <v>0</v>
      </c>
      <c r="E89" s="196">
        <f>E87-E88</f>
        <v>849.85799999999995</v>
      </c>
      <c r="F89" s="249">
        <f>F87-F88</f>
        <v>849.85963938973646</v>
      </c>
      <c r="G89" s="195">
        <f>G87-G88</f>
        <v>851.83510402219144</v>
      </c>
      <c r="H89" s="194">
        <f>H87-H88</f>
        <v>0</v>
      </c>
      <c r="I89" s="227">
        <f>F89+H89</f>
        <v>849.85963938973646</v>
      </c>
      <c r="J89" s="192"/>
      <c r="K89" s="191"/>
      <c r="L89" s="191" t="s">
        <v>28</v>
      </c>
      <c r="M89" s="241"/>
      <c r="N89" s="189"/>
      <c r="O89" s="189"/>
      <c r="P89" s="240"/>
      <c r="Q89" s="248">
        <f>SUM(Q87:Q88)</f>
        <v>299</v>
      </c>
      <c r="R89" s="236">
        <f>L87-Q89</f>
        <v>520.66163938973648</v>
      </c>
      <c r="S89" s="235">
        <f>L88-Q89</f>
        <v>522.63710402219147</v>
      </c>
    </row>
    <row r="90" spans="2:19">
      <c r="B90" s="247" t="s">
        <v>20</v>
      </c>
      <c r="C90" s="221">
        <f>C78</f>
        <v>1036.798</v>
      </c>
      <c r="D90" s="221">
        <f>D78</f>
        <v>0</v>
      </c>
      <c r="E90" s="246">
        <f>E78</f>
        <v>1036.798</v>
      </c>
      <c r="F90" s="226">
        <v>1036.8</v>
      </c>
      <c r="G90" s="218">
        <v>1031.1300000000001</v>
      </c>
      <c r="H90" s="203">
        <f>0+0+D90</f>
        <v>0</v>
      </c>
      <c r="I90" s="225">
        <f>F90+H90</f>
        <v>1036.8</v>
      </c>
      <c r="J90" s="216">
        <f>I92</f>
        <v>849.85963938973646</v>
      </c>
      <c r="K90" s="215">
        <f>Q38</f>
        <v>30.198</v>
      </c>
      <c r="L90" s="214">
        <f>J90-K90</f>
        <v>819.66163938973648</v>
      </c>
      <c r="M90" s="245" t="s">
        <v>61</v>
      </c>
      <c r="N90" s="82"/>
      <c r="O90" s="82"/>
      <c r="P90" s="244"/>
      <c r="Q90" s="73">
        <v>473</v>
      </c>
      <c r="R90" s="224"/>
      <c r="S90" s="223"/>
    </row>
    <row r="91" spans="2:19">
      <c r="B91" s="211" t="s">
        <v>59</v>
      </c>
      <c r="C91" s="210">
        <f>C88</f>
        <v>186.94</v>
      </c>
      <c r="D91" s="206">
        <f>D88</f>
        <v>0</v>
      </c>
      <c r="E91" s="209">
        <f>SUM(C91:D91)</f>
        <v>186.94</v>
      </c>
      <c r="F91" s="208">
        <f>F90*'[1]сод. 1р.,слес'!D44</f>
        <v>186.94036061026353</v>
      </c>
      <c r="G91" s="207">
        <f>G90*'[1]сод. 1р.,слес'!D44</f>
        <v>185.91803051317618</v>
      </c>
      <c r="H91" s="206">
        <f>H90*'[1]сод. 1р.,слес'!D44</f>
        <v>0</v>
      </c>
      <c r="I91" s="205">
        <f>F91+H91</f>
        <v>186.94036061026353</v>
      </c>
      <c r="J91" s="204"/>
      <c r="K91" s="203"/>
      <c r="L91" s="243">
        <f>G92+H92-K90</f>
        <v>815.01396948682395</v>
      </c>
      <c r="M91" s="11"/>
      <c r="N91" s="62"/>
      <c r="O91" s="62"/>
      <c r="P91" s="242"/>
      <c r="Q91" s="62"/>
      <c r="R91" s="201"/>
      <c r="S91" s="200"/>
    </row>
    <row r="92" spans="2:19" ht="13.5" thickBot="1">
      <c r="B92" s="199" t="s">
        <v>56</v>
      </c>
      <c r="C92" s="198">
        <f>C90-C91</f>
        <v>849.85799999999995</v>
      </c>
      <c r="D92" s="194">
        <f>D90-D91</f>
        <v>0</v>
      </c>
      <c r="E92" s="197">
        <f>E90-E91</f>
        <v>849.85799999999995</v>
      </c>
      <c r="F92" s="238">
        <f>F90-F91</f>
        <v>849.85963938973646</v>
      </c>
      <c r="G92" s="237">
        <f>G90-G91</f>
        <v>845.21196948682393</v>
      </c>
      <c r="H92" s="232">
        <f>H90-H91</f>
        <v>0</v>
      </c>
      <c r="I92" s="193">
        <f>F92+H92</f>
        <v>849.85963938973646</v>
      </c>
      <c r="J92" s="192"/>
      <c r="K92" s="191"/>
      <c r="L92" s="191" t="s">
        <v>28</v>
      </c>
      <c r="M92" s="241"/>
      <c r="N92" s="189"/>
      <c r="O92" s="189"/>
      <c r="P92" s="240"/>
      <c r="Q92" s="157">
        <f>SUM(Q90:Q91)</f>
        <v>473</v>
      </c>
      <c r="R92" s="236">
        <f>L90-Q92</f>
        <v>346.66163938973648</v>
      </c>
      <c r="S92" s="235">
        <f>L91-Q92</f>
        <v>342.01396948682395</v>
      </c>
    </row>
    <row r="93" spans="2:19">
      <c r="B93" s="151" t="s">
        <v>17</v>
      </c>
      <c r="C93" s="221">
        <f>C78</f>
        <v>1036.798</v>
      </c>
      <c r="D93" s="220">
        <f>D90</f>
        <v>0</v>
      </c>
      <c r="E93" s="217">
        <f>SUM(C93:D93)</f>
        <v>1036.798</v>
      </c>
      <c r="F93" s="226">
        <v>1036.8</v>
      </c>
      <c r="G93" s="218">
        <v>1034.5999999999999</v>
      </c>
      <c r="H93" s="203">
        <f>0+0+D93</f>
        <v>0</v>
      </c>
      <c r="I93" s="225">
        <f>F93+H93</f>
        <v>1036.8</v>
      </c>
      <c r="J93" s="216">
        <f>I95</f>
        <v>849.85963938973646</v>
      </c>
      <c r="K93" s="215">
        <f>Q38</f>
        <v>30.198</v>
      </c>
      <c r="L93" s="214">
        <f>J93-K93</f>
        <v>819.66163938973648</v>
      </c>
      <c r="M93" s="80" t="s">
        <v>61</v>
      </c>
      <c r="N93" s="82"/>
      <c r="O93" s="82"/>
      <c r="P93" s="81"/>
      <c r="Q93" s="82">
        <v>1238</v>
      </c>
      <c r="R93" s="213"/>
      <c r="S93" s="212"/>
    </row>
    <row r="94" spans="2:19">
      <c r="B94" s="211" t="s">
        <v>59</v>
      </c>
      <c r="C94" s="210">
        <f>C91</f>
        <v>186.94</v>
      </c>
      <c r="D94" s="206">
        <f>D91</f>
        <v>0</v>
      </c>
      <c r="E94" s="209">
        <f>SUM(C94:D94)</f>
        <v>186.94</v>
      </c>
      <c r="F94" s="208">
        <f>F93*'[1]сод. 1р.,слес'!D44</f>
        <v>186.94036061026353</v>
      </c>
      <c r="G94" s="207">
        <f>G93*'[1]сод. 1р.,слес'!D44</f>
        <v>186.54368932038832</v>
      </c>
      <c r="H94" s="206">
        <f>H93*'[1]сод. 1р.,слес'!D44</f>
        <v>0</v>
      </c>
      <c r="I94" s="205">
        <f>F94+H94</f>
        <v>186.94036061026353</v>
      </c>
      <c r="J94" s="204"/>
      <c r="K94" s="203"/>
      <c r="L94" s="202">
        <f>G95+H95-K93</f>
        <v>817.85831067961158</v>
      </c>
      <c r="M94" s="62" t="s">
        <v>60</v>
      </c>
      <c r="N94" s="62"/>
      <c r="O94" s="62"/>
      <c r="P94" s="6"/>
      <c r="Q94" s="62">
        <v>126</v>
      </c>
      <c r="R94" s="201"/>
      <c r="S94" s="200"/>
    </row>
    <row r="95" spans="2:19" ht="13.5" thickBot="1">
      <c r="B95" s="199" t="s">
        <v>56</v>
      </c>
      <c r="C95" s="198">
        <f>C93-C94</f>
        <v>849.85799999999995</v>
      </c>
      <c r="D95" s="194">
        <f>D93-D94</f>
        <v>0</v>
      </c>
      <c r="E95" s="197">
        <f>E93-E94</f>
        <v>849.85799999999995</v>
      </c>
      <c r="F95" s="196">
        <f>F93-F94</f>
        <v>849.85963938973646</v>
      </c>
      <c r="G95" s="195">
        <f>G93-G94</f>
        <v>848.05631067961156</v>
      </c>
      <c r="H95" s="194">
        <f>H93-H94</f>
        <v>0</v>
      </c>
      <c r="I95" s="239">
        <f>F95+H95</f>
        <v>849.85963938973646</v>
      </c>
      <c r="J95" s="192"/>
      <c r="K95" s="191"/>
      <c r="L95" s="191" t="s">
        <v>28</v>
      </c>
      <c r="M95" s="189"/>
      <c r="N95" s="189"/>
      <c r="O95" s="189"/>
      <c r="P95" s="190"/>
      <c r="Q95" s="157">
        <f>SUM(Q93:Q94)</f>
        <v>1364</v>
      </c>
      <c r="R95" s="236">
        <f>L93-Q95</f>
        <v>-544.33836061026352</v>
      </c>
      <c r="S95" s="235">
        <f>L94-Q95</f>
        <v>-546.14168932038842</v>
      </c>
    </row>
    <row r="96" spans="2:19">
      <c r="B96" s="151" t="s">
        <v>13</v>
      </c>
      <c r="C96" s="221">
        <f>C78</f>
        <v>1036.798</v>
      </c>
      <c r="D96" s="220">
        <f>D90</f>
        <v>0</v>
      </c>
      <c r="E96" s="217">
        <f>SUM(C96:D96)</f>
        <v>1036.798</v>
      </c>
      <c r="F96" s="226">
        <v>1036.8</v>
      </c>
      <c r="G96" s="218">
        <v>1040.57</v>
      </c>
      <c r="H96" s="203">
        <f>0+0+D96</f>
        <v>0</v>
      </c>
      <c r="I96" s="225">
        <f>F96+H96</f>
        <v>1036.8</v>
      </c>
      <c r="J96" s="216">
        <f>I98</f>
        <v>849.85963938973646</v>
      </c>
      <c r="K96" s="215">
        <f>Q38</f>
        <v>30.198</v>
      </c>
      <c r="L96" s="214">
        <f>J96-K96</f>
        <v>819.66163938973648</v>
      </c>
      <c r="M96" s="70" t="s">
        <v>60</v>
      </c>
      <c r="N96" s="73"/>
      <c r="O96" s="73"/>
      <c r="P96" s="72"/>
      <c r="Q96" s="73">
        <v>382</v>
      </c>
      <c r="R96" s="224"/>
      <c r="S96" s="223"/>
    </row>
    <row r="97" spans="2:19">
      <c r="B97" s="211" t="s">
        <v>59</v>
      </c>
      <c r="C97" s="210">
        <f>C94</f>
        <v>186.94</v>
      </c>
      <c r="D97" s="206">
        <f>D94</f>
        <v>0</v>
      </c>
      <c r="E97" s="209">
        <f>SUM(C97:D97)</f>
        <v>186.94</v>
      </c>
      <c r="F97" s="208">
        <f>F96*'[1]сод. 1р.,слес'!D44</f>
        <v>186.94036061026353</v>
      </c>
      <c r="G97" s="207">
        <f>G96*'[1]сод. 1р.,слес'!D44</f>
        <v>187.62011095700416</v>
      </c>
      <c r="H97" s="206">
        <f>H96*'[1]сод. 1р.,слес'!D44</f>
        <v>0</v>
      </c>
      <c r="I97" s="205">
        <f>F97+H97</f>
        <v>186.94036061026353</v>
      </c>
      <c r="J97" s="204"/>
      <c r="K97" s="203"/>
      <c r="L97" s="202">
        <f>G98+H98-K96</f>
        <v>822.7518890429958</v>
      </c>
      <c r="M97" s="62"/>
      <c r="N97" s="62"/>
      <c r="O97" s="62"/>
      <c r="P97" s="6"/>
      <c r="Q97" s="62"/>
      <c r="R97" s="201"/>
      <c r="S97" s="200"/>
    </row>
    <row r="98" spans="2:19" ht="13.5" thickBot="1">
      <c r="B98" s="199" t="s">
        <v>56</v>
      </c>
      <c r="C98" s="198">
        <f>C96-C97</f>
        <v>849.85799999999995</v>
      </c>
      <c r="D98" s="194">
        <f>D96-D97</f>
        <v>0</v>
      </c>
      <c r="E98" s="197">
        <f>E96-E97</f>
        <v>849.85799999999995</v>
      </c>
      <c r="F98" s="238">
        <f>F96-F97</f>
        <v>849.85963938973646</v>
      </c>
      <c r="G98" s="237">
        <f>G96-G97</f>
        <v>852.94988904299578</v>
      </c>
      <c r="H98" s="232">
        <f>H96-H97</f>
        <v>0</v>
      </c>
      <c r="I98" s="193">
        <f>F98+H98</f>
        <v>849.85963938973646</v>
      </c>
      <c r="J98" s="192"/>
      <c r="K98" s="191"/>
      <c r="L98" s="191" t="s">
        <v>28</v>
      </c>
      <c r="M98" s="189"/>
      <c r="N98" s="189"/>
      <c r="O98" s="189"/>
      <c r="P98" s="190"/>
      <c r="Q98" s="157">
        <f>SUM(Q96:Q97)</f>
        <v>382</v>
      </c>
      <c r="R98" s="236">
        <f>L96-Q98</f>
        <v>437.66163938973648</v>
      </c>
      <c r="S98" s="235">
        <f>L97-Q98</f>
        <v>440.7518890429958</v>
      </c>
    </row>
    <row r="99" spans="2:19">
      <c r="B99" s="151" t="s">
        <v>32</v>
      </c>
      <c r="C99" s="221">
        <f>C78</f>
        <v>1036.798</v>
      </c>
      <c r="D99" s="220">
        <f>D90</f>
        <v>0</v>
      </c>
      <c r="E99" s="217">
        <f>SUM(C99:D99)</f>
        <v>1036.798</v>
      </c>
      <c r="F99" s="226">
        <v>1036.8</v>
      </c>
      <c r="G99" s="218">
        <v>1034.46</v>
      </c>
      <c r="H99" s="203">
        <f>0+0+D99</f>
        <v>0</v>
      </c>
      <c r="I99" s="225">
        <f>F99+H99</f>
        <v>1036.8</v>
      </c>
      <c r="J99" s="216">
        <f>I101</f>
        <v>849.85963938973646</v>
      </c>
      <c r="K99" s="215">
        <f>K96</f>
        <v>30.198</v>
      </c>
      <c r="L99" s="214">
        <f>J99-K99</f>
        <v>819.66163938973648</v>
      </c>
      <c r="M99" s="80"/>
      <c r="N99" s="82"/>
      <c r="O99" s="82"/>
      <c r="P99" s="81"/>
      <c r="Q99" s="82"/>
      <c r="R99" s="213"/>
      <c r="S99" s="212"/>
    </row>
    <row r="100" spans="2:19">
      <c r="B100" s="211" t="s">
        <v>59</v>
      </c>
      <c r="C100" s="210">
        <f>C97</f>
        <v>186.94</v>
      </c>
      <c r="D100" s="206">
        <f>D97</f>
        <v>0</v>
      </c>
      <c r="E100" s="209">
        <f>SUM(C100:D100)</f>
        <v>186.94</v>
      </c>
      <c r="F100" s="208">
        <f>F99*'[1]сод. 1р.,слес'!D44</f>
        <v>186.94036061026353</v>
      </c>
      <c r="G100" s="207">
        <f>G99*'[1]сод. 1р.,слес'!D44</f>
        <v>186.51844660194175</v>
      </c>
      <c r="H100" s="206">
        <f>H99*'[1]сод. 1р.,слес'!D44</f>
        <v>0</v>
      </c>
      <c r="I100" s="205">
        <f>F100+H100</f>
        <v>186.94036061026353</v>
      </c>
      <c r="J100" s="204"/>
      <c r="K100" s="203"/>
      <c r="L100" s="202">
        <f>G101+H101-K99</f>
        <v>817.74355339805834</v>
      </c>
      <c r="M100" s="62"/>
      <c r="N100" s="62"/>
      <c r="O100" s="62"/>
      <c r="P100" s="6"/>
      <c r="Q100" s="62"/>
      <c r="R100" s="201"/>
      <c r="S100" s="200"/>
    </row>
    <row r="101" spans="2:19" ht="13.5" thickBot="1">
      <c r="B101" s="199" t="s">
        <v>56</v>
      </c>
      <c r="C101" s="198">
        <f>C99-C100</f>
        <v>849.85799999999995</v>
      </c>
      <c r="D101" s="194">
        <f>D99-D100</f>
        <v>0</v>
      </c>
      <c r="E101" s="197">
        <f>E99-E100</f>
        <v>849.85799999999995</v>
      </c>
      <c r="F101" s="196">
        <f>F99-F100</f>
        <v>849.85963938973646</v>
      </c>
      <c r="G101" s="195">
        <f>G99-G100</f>
        <v>847.94155339805832</v>
      </c>
      <c r="H101" s="194">
        <f>H99-H100</f>
        <v>0</v>
      </c>
      <c r="I101" s="227">
        <f>F101+H101</f>
        <v>849.85963938973646</v>
      </c>
      <c r="J101" s="192"/>
      <c r="K101" s="191"/>
      <c r="L101" s="191" t="s">
        <v>28</v>
      </c>
      <c r="M101" s="189"/>
      <c r="N101" s="189"/>
      <c r="O101" s="189"/>
      <c r="P101" s="190"/>
      <c r="Q101" s="189">
        <f>SUM(Q99:Q100)</f>
        <v>0</v>
      </c>
      <c r="R101" s="222">
        <f>L99-Q101</f>
        <v>819.66163938973648</v>
      </c>
      <c r="S101" s="155">
        <f>L100-Q101</f>
        <v>817.74355339805834</v>
      </c>
    </row>
    <row r="102" spans="2:19">
      <c r="B102" s="151" t="s">
        <v>2</v>
      </c>
      <c r="C102" s="221">
        <f>C78</f>
        <v>1036.798</v>
      </c>
      <c r="D102" s="220">
        <f>D90</f>
        <v>0</v>
      </c>
      <c r="E102" s="217">
        <f>SUM(C102:D102)</f>
        <v>1036.798</v>
      </c>
      <c r="F102" s="226">
        <v>1036.8</v>
      </c>
      <c r="G102" s="218">
        <v>594.54</v>
      </c>
      <c r="H102" s="203">
        <f>0+0+D102</f>
        <v>0</v>
      </c>
      <c r="I102" s="225">
        <f>F102+H102</f>
        <v>1036.8</v>
      </c>
      <c r="J102" s="216">
        <f>I104</f>
        <v>849.85963938973646</v>
      </c>
      <c r="K102" s="215">
        <f>K99</f>
        <v>30.198</v>
      </c>
      <c r="L102" s="214">
        <f>J102-K102</f>
        <v>819.66163938973648</v>
      </c>
      <c r="M102" s="233"/>
      <c r="N102" s="73"/>
      <c r="O102" s="73"/>
      <c r="P102" s="72"/>
      <c r="Q102" s="73"/>
      <c r="R102" s="224"/>
      <c r="S102" s="223"/>
    </row>
    <row r="103" spans="2:19">
      <c r="B103" s="211" t="s">
        <v>59</v>
      </c>
      <c r="C103" s="210">
        <f>C100</f>
        <v>186.94</v>
      </c>
      <c r="D103" s="206">
        <f>D100</f>
        <v>0</v>
      </c>
      <c r="E103" s="209">
        <f>SUM(C103:D103)</f>
        <v>186.94</v>
      </c>
      <c r="F103" s="208">
        <f>F102*'[1]сод. 1р.,слес'!D44</f>
        <v>186.94036061026353</v>
      </c>
      <c r="G103" s="207">
        <f>G102*'[1]сод. 1р.,слес'!D44</f>
        <v>107.19861303744798</v>
      </c>
      <c r="H103" s="206">
        <f>H102*'[1]сод. 1р.,слес'!D44</f>
        <v>0</v>
      </c>
      <c r="I103" s="234">
        <f>F103+H103</f>
        <v>186.94036061026353</v>
      </c>
      <c r="J103" s="204"/>
      <c r="K103" s="203"/>
      <c r="L103" s="202">
        <f>G104+H104-K102</f>
        <v>457.14338696255197</v>
      </c>
      <c r="M103" s="233"/>
      <c r="N103" s="73"/>
      <c r="O103" s="73"/>
      <c r="P103" s="72"/>
      <c r="Q103" s="62"/>
      <c r="R103" s="201"/>
      <c r="S103" s="200"/>
    </row>
    <row r="104" spans="2:19" ht="13.5" thickBot="1">
      <c r="B104" s="199" t="s">
        <v>56</v>
      </c>
      <c r="C104" s="198">
        <f>C102-C103</f>
        <v>849.85799999999995</v>
      </c>
      <c r="D104" s="194">
        <f>D102-D103</f>
        <v>0</v>
      </c>
      <c r="E104" s="197">
        <f>E102-E103</f>
        <v>849.85799999999995</v>
      </c>
      <c r="F104" s="232">
        <f>F102-F103</f>
        <v>849.85963938973646</v>
      </c>
      <c r="G104" s="195">
        <f>G102-G103</f>
        <v>487.34138696255195</v>
      </c>
      <c r="H104" s="194">
        <f>H102-H103</f>
        <v>0</v>
      </c>
      <c r="I104" s="227">
        <f>F104+H104</f>
        <v>849.85963938973646</v>
      </c>
      <c r="J104" s="192"/>
      <c r="K104" s="191"/>
      <c r="L104" s="191" t="s">
        <v>28</v>
      </c>
      <c r="M104" s="189"/>
      <c r="N104" s="189"/>
      <c r="O104" s="189"/>
      <c r="P104" s="190"/>
      <c r="Q104" s="189">
        <f>H190</f>
        <v>721</v>
      </c>
      <c r="R104" s="222">
        <f>L102-Q104</f>
        <v>98.661639389736479</v>
      </c>
      <c r="S104" s="155">
        <f>L103-Q104</f>
        <v>-263.85661303744803</v>
      </c>
    </row>
    <row r="105" spans="2:19">
      <c r="B105" s="151" t="s">
        <v>31</v>
      </c>
      <c r="C105" s="221">
        <f>C78</f>
        <v>1036.798</v>
      </c>
      <c r="D105" s="220">
        <f>D90</f>
        <v>0</v>
      </c>
      <c r="E105" s="217">
        <f>SUM(C105:D105)</f>
        <v>1036.798</v>
      </c>
      <c r="F105" s="226">
        <v>1036.8</v>
      </c>
      <c r="G105" s="218">
        <f>594.54+389.19</f>
        <v>983.73</v>
      </c>
      <c r="H105" s="203">
        <f>0+0+D105</f>
        <v>0</v>
      </c>
      <c r="I105" s="225">
        <f>F105+H105</f>
        <v>1036.8</v>
      </c>
      <c r="J105" s="216">
        <f>I107</f>
        <v>849.85963938973646</v>
      </c>
      <c r="K105" s="215">
        <f>K102</f>
        <v>30.198</v>
      </c>
      <c r="L105" s="214">
        <f>J105-K105</f>
        <v>819.66163938973648</v>
      </c>
      <c r="M105" s="80"/>
      <c r="N105" s="82"/>
      <c r="O105" s="82"/>
      <c r="P105" s="81"/>
      <c r="Q105" s="82"/>
      <c r="R105" s="213"/>
      <c r="S105" s="212"/>
    </row>
    <row r="106" spans="2:19">
      <c r="B106" s="211" t="s">
        <v>59</v>
      </c>
      <c r="C106" s="210">
        <f>C103</f>
        <v>186.94</v>
      </c>
      <c r="D106" s="206">
        <f>D103</f>
        <v>0</v>
      </c>
      <c r="E106" s="209">
        <f>SUM(C106:D106)</f>
        <v>186.94</v>
      </c>
      <c r="F106" s="208">
        <f>F105*'[1]сод. 1р.,слес'!D44</f>
        <v>186.94036061026353</v>
      </c>
      <c r="G106" s="207">
        <f>G105*'[1]сод. 1р.,слес'!D44</f>
        <v>177.37156726768379</v>
      </c>
      <c r="H106" s="206">
        <f>H105*'[1]сод. 1р.,слес'!D44</f>
        <v>0</v>
      </c>
      <c r="I106" s="205">
        <f>F106+H106</f>
        <v>186.94036061026353</v>
      </c>
      <c r="J106" s="204"/>
      <c r="K106" s="203"/>
      <c r="L106" s="202">
        <f>G107+H107-K105</f>
        <v>776.16043273231628</v>
      </c>
      <c r="M106" s="62"/>
      <c r="N106" s="62"/>
      <c r="O106" s="62"/>
      <c r="P106" s="6"/>
      <c r="Q106" s="62"/>
      <c r="R106" s="201"/>
      <c r="S106" s="200"/>
    </row>
    <row r="107" spans="2:19" ht="13.5" thickBot="1">
      <c r="B107" s="231" t="s">
        <v>56</v>
      </c>
      <c r="C107" s="230">
        <f>C105-C106</f>
        <v>849.85799999999995</v>
      </c>
      <c r="D107" s="229">
        <f>D105-D106</f>
        <v>0</v>
      </c>
      <c r="E107" s="228">
        <f>E105-E106</f>
        <v>849.85799999999995</v>
      </c>
      <c r="F107" s="196">
        <f>F105-F106</f>
        <v>849.85963938973646</v>
      </c>
      <c r="G107" s="195">
        <f>G105-G106</f>
        <v>806.35843273231626</v>
      </c>
      <c r="H107" s="194">
        <f>H105-H106</f>
        <v>0</v>
      </c>
      <c r="I107" s="227">
        <f>F107+H107</f>
        <v>849.85963938973646</v>
      </c>
      <c r="J107" s="192"/>
      <c r="K107" s="191"/>
      <c r="L107" s="191" t="s">
        <v>28</v>
      </c>
      <c r="M107" s="189"/>
      <c r="N107" s="189"/>
      <c r="O107" s="189"/>
      <c r="P107" s="190"/>
      <c r="Q107" s="189">
        <f>SUM(Q105:Q106)</f>
        <v>0</v>
      </c>
      <c r="R107" s="222">
        <f>L105-Q107</f>
        <v>819.66163938973648</v>
      </c>
      <c r="S107" s="155">
        <f>L106-Q107</f>
        <v>776.16043273231628</v>
      </c>
    </row>
    <row r="108" spans="2:19">
      <c r="B108" s="151" t="s">
        <v>30</v>
      </c>
      <c r="C108" s="221">
        <f>C78</f>
        <v>1036.798</v>
      </c>
      <c r="D108" s="220">
        <f>D90</f>
        <v>0</v>
      </c>
      <c r="E108" s="217">
        <f>SUM(C108:D108)</f>
        <v>1036.798</v>
      </c>
      <c r="F108" s="226">
        <v>1036.8</v>
      </c>
      <c r="G108" s="218">
        <f>848+212.97</f>
        <v>1060.97</v>
      </c>
      <c r="H108" s="203">
        <f>0+0+D108</f>
        <v>0</v>
      </c>
      <c r="I108" s="225">
        <f>F108+H108</f>
        <v>1036.8</v>
      </c>
      <c r="J108" s="216">
        <f>I110</f>
        <v>849.85963938973646</v>
      </c>
      <c r="K108" s="215">
        <f>K105</f>
        <v>30.198</v>
      </c>
      <c r="L108" s="214">
        <f>J108-K108</f>
        <v>819.66163938973648</v>
      </c>
      <c r="M108" s="70"/>
      <c r="N108" s="73"/>
      <c r="O108" s="73"/>
      <c r="P108" s="72"/>
      <c r="Q108" s="73"/>
      <c r="R108" s="224"/>
      <c r="S108" s="223"/>
    </row>
    <row r="109" spans="2:19">
      <c r="B109" s="211" t="s">
        <v>59</v>
      </c>
      <c r="C109" s="210">
        <f>C106</f>
        <v>186.94</v>
      </c>
      <c r="D109" s="206">
        <f>D106</f>
        <v>0</v>
      </c>
      <c r="E109" s="209">
        <f>SUM(C109:D109)</f>
        <v>186.94</v>
      </c>
      <c r="F109" s="208">
        <f>F108*'[1]сод. 1р.,слес'!D44</f>
        <v>186.94036061026353</v>
      </c>
      <c r="G109" s="207">
        <f>G108*'[1]сод. 1р.,слес'!D44</f>
        <v>191.29833564493759</v>
      </c>
      <c r="H109" s="206">
        <f>H108*'[1]сод. 1р.,слес'!D44</f>
        <v>0</v>
      </c>
      <c r="I109" s="205">
        <f>F109+H109</f>
        <v>186.94036061026353</v>
      </c>
      <c r="J109" s="204"/>
      <c r="K109" s="203"/>
      <c r="L109" s="202">
        <f>G110+H110-K108</f>
        <v>839.4736643550624</v>
      </c>
      <c r="M109" s="62"/>
      <c r="N109" s="62"/>
      <c r="O109" s="62"/>
      <c r="P109" s="6"/>
      <c r="Q109" s="62"/>
      <c r="R109" s="201"/>
      <c r="S109" s="200"/>
    </row>
    <row r="110" spans="2:19" ht="13.5" thickBot="1">
      <c r="B110" s="199" t="s">
        <v>56</v>
      </c>
      <c r="C110" s="198">
        <f>C108-C109</f>
        <v>849.85799999999995</v>
      </c>
      <c r="D110" s="194">
        <f>D108-D109</f>
        <v>0</v>
      </c>
      <c r="E110" s="197">
        <f>E108-E109</f>
        <v>849.85799999999995</v>
      </c>
      <c r="F110" s="196">
        <f>F108-F109</f>
        <v>849.85963938973646</v>
      </c>
      <c r="G110" s="195">
        <f>G108-G109</f>
        <v>869.67166435506238</v>
      </c>
      <c r="H110" s="194">
        <f>H108-H109</f>
        <v>0</v>
      </c>
      <c r="I110" s="193">
        <f>F110+H110</f>
        <v>849.85963938973646</v>
      </c>
      <c r="J110" s="192"/>
      <c r="K110" s="191"/>
      <c r="L110" s="191" t="s">
        <v>28</v>
      </c>
      <c r="M110" s="189"/>
      <c r="N110" s="189"/>
      <c r="O110" s="189"/>
      <c r="P110" s="190"/>
      <c r="Q110" s="189">
        <f>SUM(Q108:Q109)</f>
        <v>0</v>
      </c>
      <c r="R110" s="222">
        <f>L108-Q110</f>
        <v>819.66163938973648</v>
      </c>
      <c r="S110" s="155">
        <f>L109-Q110</f>
        <v>839.4736643550624</v>
      </c>
    </row>
    <row r="111" spans="2:19">
      <c r="B111" s="151" t="s">
        <v>29</v>
      </c>
      <c r="C111" s="221">
        <f>C78</f>
        <v>1036.798</v>
      </c>
      <c r="D111" s="220">
        <f>D90</f>
        <v>0</v>
      </c>
      <c r="E111" s="217">
        <f>SUM(C111:D111)</f>
        <v>1036.798</v>
      </c>
      <c r="F111" s="219">
        <v>1036.8</v>
      </c>
      <c r="G111" s="218">
        <f>946.73+112.75</f>
        <v>1059.48</v>
      </c>
      <c r="H111" s="203">
        <f>0+0+D111</f>
        <v>0</v>
      </c>
      <c r="I111" s="217">
        <f>F111+H111</f>
        <v>1036.8</v>
      </c>
      <c r="J111" s="216">
        <f>I113</f>
        <v>849.85963938973646</v>
      </c>
      <c r="K111" s="215">
        <f>K108</f>
        <v>30.198</v>
      </c>
      <c r="L111" s="214">
        <f>J111-K111</f>
        <v>819.66163938973648</v>
      </c>
      <c r="M111" s="80"/>
      <c r="N111" s="82"/>
      <c r="O111" s="82"/>
      <c r="P111" s="81"/>
      <c r="Q111" s="82"/>
      <c r="R111" s="213"/>
      <c r="S111" s="212"/>
    </row>
    <row r="112" spans="2:19">
      <c r="B112" s="211" t="s">
        <v>59</v>
      </c>
      <c r="C112" s="210">
        <f>C109</f>
        <v>186.94</v>
      </c>
      <c r="D112" s="206">
        <f>D109</f>
        <v>0</v>
      </c>
      <c r="E112" s="209">
        <f>SUM(C112:D112)</f>
        <v>186.94</v>
      </c>
      <c r="F112" s="208">
        <f>F111*'[1]сод. 1р.,слес'!D44</f>
        <v>186.94036061026353</v>
      </c>
      <c r="G112" s="207">
        <f>G111*'[1]сод. 1р.,слес'!D44</f>
        <v>191.02968099861303</v>
      </c>
      <c r="H112" s="206">
        <f>H111*'[1]сод. 1р.,слес'!D44</f>
        <v>0</v>
      </c>
      <c r="I112" s="205">
        <f>F112+H112</f>
        <v>186.94036061026353</v>
      </c>
      <c r="J112" s="204"/>
      <c r="K112" s="203"/>
      <c r="L112" s="202">
        <f>G113+H113-K111</f>
        <v>838.25231900138704</v>
      </c>
      <c r="M112" s="62"/>
      <c r="N112" s="62"/>
      <c r="O112" s="62"/>
      <c r="P112" s="6"/>
      <c r="Q112" s="62"/>
      <c r="R112" s="201"/>
      <c r="S112" s="200"/>
    </row>
    <row r="113" spans="2:19" ht="13.5" thickBot="1">
      <c r="B113" s="199" t="s">
        <v>56</v>
      </c>
      <c r="C113" s="198">
        <f>C111-C112</f>
        <v>849.85799999999995</v>
      </c>
      <c r="D113" s="194">
        <f>D111-D112</f>
        <v>0</v>
      </c>
      <c r="E113" s="197">
        <f>E111-E112</f>
        <v>849.85799999999995</v>
      </c>
      <c r="F113" s="196">
        <f>F111-F112</f>
        <v>849.85963938973646</v>
      </c>
      <c r="G113" s="195">
        <f>G111-G112</f>
        <v>868.45031900138702</v>
      </c>
      <c r="H113" s="194">
        <f>H111-H112</f>
        <v>0</v>
      </c>
      <c r="I113" s="193">
        <f>F113+H113</f>
        <v>849.85963938973646</v>
      </c>
      <c r="J113" s="192"/>
      <c r="K113" s="191"/>
      <c r="L113" s="191" t="s">
        <v>28</v>
      </c>
      <c r="M113" s="189"/>
      <c r="N113" s="189"/>
      <c r="O113" s="189"/>
      <c r="P113" s="190"/>
      <c r="Q113" s="189">
        <f>SUM(Q111:Q112)</f>
        <v>0</v>
      </c>
      <c r="R113" s="188">
        <f>L111-Q113</f>
        <v>819.66163938973648</v>
      </c>
      <c r="S113" s="187">
        <f>L112-Q113</f>
        <v>838.25231900138704</v>
      </c>
    </row>
    <row r="114" spans="2:19">
      <c r="B114" s="186" t="s">
        <v>27</v>
      </c>
      <c r="C114" s="180">
        <f>C78+C81+C84+C90+C87+C93+C96+C99+C102+C105+C108+C111</f>
        <v>12441.576000000003</v>
      </c>
      <c r="D114" s="185">
        <f>D78+D81+D84+D90+D87+D93+D96+D99+D102+D105+D108+D111</f>
        <v>0</v>
      </c>
      <c r="E114" s="184">
        <f>E78+E81+E84+E90+E87+E93+E96+E99+E102+E105+E108+E111</f>
        <v>12441.576000000003</v>
      </c>
      <c r="F114" s="180">
        <f>F78+F81+F84+F87+F90+F93+F96+F99+F102+F105+F108+F111</f>
        <v>12441.599999999997</v>
      </c>
      <c r="G114" s="185">
        <f>G78+G81+G84+G87+G90+G93+G96+G99+G102+G105+G108+G111</f>
        <v>11037.789999999999</v>
      </c>
      <c r="H114" s="185">
        <f>H78+H81+H84+H87+H90+H93+H96+H99+H102+H105+H108+H111</f>
        <v>0</v>
      </c>
      <c r="I114" s="184">
        <f>I78+I81+I84+I87+I90+I93+I96+I99+I102+I105+I108+I111</f>
        <v>12441.599999999997</v>
      </c>
      <c r="J114" s="183">
        <f>SUM(J78:J113)</f>
        <v>10198.315672676841</v>
      </c>
      <c r="K114" s="182">
        <f>SUM(K78:K113)</f>
        <v>362.37599999999998</v>
      </c>
      <c r="L114" s="182">
        <f>L78+L81+L84+L87+L90+L93+L96+L99+L102+L105+L108+L111</f>
        <v>9835.9396726768373</v>
      </c>
      <c r="M114" s="152"/>
      <c r="N114" s="152"/>
      <c r="O114" s="152"/>
      <c r="P114" s="152"/>
      <c r="Q114" s="181">
        <f>Q80+Q83+Q86+Q89+Q92+Q95+Q98+Q101+Q104+Q107+Q110+Q113</f>
        <v>3848</v>
      </c>
      <c r="R114" s="180">
        <f>R80+R83+R86+R89+R92+R95+R98+R101+R104+R107+R110+R113</f>
        <v>5987.9396726768382</v>
      </c>
      <c r="S114" s="179">
        <f>S80+S83+S86+S89+S92+S95+S98+S101+S104+S107+S110+S113</f>
        <v>4837.2438196948688</v>
      </c>
    </row>
    <row r="115" spans="2:19">
      <c r="B115" s="178" t="s">
        <v>59</v>
      </c>
      <c r="C115" s="177">
        <f>C79+C82+C85+C91+C88+C94+C97+C100+C103+C106+C109+C112</f>
        <v>2243.2800000000002</v>
      </c>
      <c r="D115" s="176">
        <f>D79+D82+D85+D91+D88+D94+D97+D100+D103+D106+D109+D112</f>
        <v>0</v>
      </c>
      <c r="E115" s="175">
        <f>E79+E82+E85+E91+E88+E94+E97+E100+E103+E106+E109+E112</f>
        <v>2243.2800000000002</v>
      </c>
      <c r="F115" s="177">
        <f>F79+F82+F85+F88+F91+F94+F97+F100+F103+F106+F109+F112</f>
        <v>2243.2843273231624</v>
      </c>
      <c r="G115" s="176">
        <f>G79+G82+G85+G88+G91+G94+G97+G100+G103+G106+G109+G112</f>
        <v>1990.1701803051319</v>
      </c>
      <c r="H115" s="176">
        <f>H79+H82+H85+H88+H91+H94+H97+H100+H103+H106+H109+H112</f>
        <v>0</v>
      </c>
      <c r="I115" s="175">
        <f>I79+I82+I85+I88+I91+I94+I97+I100+I103+I106+I109+I112</f>
        <v>2243.2843273231624</v>
      </c>
      <c r="J115" s="174"/>
      <c r="K115" s="173"/>
      <c r="L115" s="172">
        <f>L79+L82+L85+L88+L91+L94+L97+L100+L103+L106+L109+L112</f>
        <v>8685.2438196948679</v>
      </c>
      <c r="M115" s="171" t="s">
        <v>58</v>
      </c>
      <c r="N115" s="170"/>
      <c r="O115" s="169" t="s">
        <v>57</v>
      </c>
      <c r="P115" s="168"/>
      <c r="Q115" s="167"/>
      <c r="R115" s="166">
        <f>R114+R77</f>
        <v>11334.939672676839</v>
      </c>
      <c r="S115" s="166">
        <f>S114+S77</f>
        <v>10567.243819694868</v>
      </c>
    </row>
    <row r="116" spans="2:19" ht="13.5" thickBot="1">
      <c r="B116" s="165" t="s">
        <v>56</v>
      </c>
      <c r="C116" s="164">
        <f>C80+C83+C86+C92+C89+C95+C98+C101+C104+C107+C110+C113</f>
        <v>10198.296</v>
      </c>
      <c r="D116" s="163">
        <f>D80+D83+D86+D92+D89+D95+D98+D101+D104+D107+D110+D113</f>
        <v>0</v>
      </c>
      <c r="E116" s="162">
        <f>E80+E83+E86+E92+E89+E95+E98+E101+E104+E107+E110+E113</f>
        <v>10198.296</v>
      </c>
      <c r="F116" s="164">
        <f>F80+F83+F86+F89+F92+F95+F98+F101+F104+F107+F110+F113</f>
        <v>10198.315672676841</v>
      </c>
      <c r="G116" s="163">
        <f>G80+G83+G86+G89+G92+G95+G98+G101+G104+G107+G110+G113</f>
        <v>9047.6198196948681</v>
      </c>
      <c r="H116" s="163">
        <f>H80+H83+H86+H89+H92+H95+H98+H101+H104+H107+H110+H113</f>
        <v>0</v>
      </c>
      <c r="I116" s="162">
        <f>I80+I83+I86+I89+I92+I95+I98+I101+I104+I107+I110+I113</f>
        <v>10198.315672676841</v>
      </c>
      <c r="J116" s="161"/>
      <c r="K116" s="160"/>
      <c r="L116" s="159">
        <f>G116+H116-K114</f>
        <v>8685.2438196948679</v>
      </c>
      <c r="M116" s="158"/>
      <c r="N116" s="157"/>
      <c r="O116" s="157"/>
      <c r="P116" s="99"/>
      <c r="Q116" s="157"/>
      <c r="R116" s="156"/>
      <c r="S116" s="155">
        <f>L115-Q114</f>
        <v>4837.2438196948679</v>
      </c>
    </row>
    <row r="117" spans="2:19">
      <c r="B117" s="154"/>
      <c r="C117" s="153"/>
      <c r="D117" s="153"/>
      <c r="E117" s="153"/>
      <c r="F117" s="152"/>
      <c r="G117" s="152"/>
      <c r="H117" s="152"/>
      <c r="I117" s="152"/>
      <c r="J117" s="153"/>
      <c r="K117" s="153"/>
      <c r="L117" s="153"/>
      <c r="M117" s="152"/>
      <c r="N117" s="152"/>
      <c r="O117" s="152"/>
      <c r="P117" s="152"/>
      <c r="Q117" s="152"/>
      <c r="R117" s="152"/>
    </row>
    <row r="119" spans="2:19" ht="13.5" thickBot="1"/>
    <row r="120" spans="2:19" ht="13.5" thickBot="1">
      <c r="B120" s="151"/>
      <c r="C120" s="150"/>
      <c r="D120" s="149"/>
      <c r="E120" s="140"/>
      <c r="F120" s="124" t="s">
        <v>55</v>
      </c>
      <c r="G120" s="124"/>
      <c r="H120" s="124"/>
      <c r="I120" s="123"/>
      <c r="J120" s="148" t="s">
        <v>54</v>
      </c>
      <c r="K120" s="147"/>
      <c r="L120" s="147"/>
      <c r="M120" s="147"/>
      <c r="N120" s="147"/>
      <c r="O120" s="147"/>
      <c r="P120" s="147"/>
      <c r="Q120" s="146"/>
      <c r="R120" s="145" t="s">
        <v>53</v>
      </c>
      <c r="S120" s="144"/>
    </row>
    <row r="121" spans="2:19" ht="13.5" thickBot="1">
      <c r="B121" s="143" t="s">
        <v>52</v>
      </c>
      <c r="C121" s="142"/>
      <c r="D121" s="142"/>
      <c r="E121" s="141"/>
      <c r="F121" s="140" t="s">
        <v>51</v>
      </c>
      <c r="G121" s="139" t="s">
        <v>50</v>
      </c>
      <c r="H121" s="138" t="s">
        <v>49</v>
      </c>
      <c r="I121" s="137" t="s">
        <v>48</v>
      </c>
      <c r="J121" s="136" t="s">
        <v>47</v>
      </c>
      <c r="K121" s="135"/>
      <c r="L121" s="135"/>
      <c r="M121" s="135"/>
      <c r="N121" s="135"/>
      <c r="O121" s="135"/>
      <c r="P121" s="135"/>
      <c r="Q121" s="123"/>
      <c r="R121" s="134" t="s">
        <v>46</v>
      </c>
      <c r="S121" s="133"/>
    </row>
    <row r="122" spans="2:19" ht="13.5" thickBot="1">
      <c r="B122" s="132"/>
      <c r="C122" s="131"/>
      <c r="D122" s="131"/>
      <c r="E122" s="130"/>
      <c r="F122" s="129" t="s">
        <v>45</v>
      </c>
      <c r="G122" s="128" t="s">
        <v>45</v>
      </c>
      <c r="H122" s="127" t="s">
        <v>45</v>
      </c>
      <c r="I122" s="126"/>
      <c r="J122" s="125" t="s">
        <v>44</v>
      </c>
      <c r="K122" s="124"/>
      <c r="L122" s="124"/>
      <c r="M122" s="124"/>
      <c r="N122" s="124"/>
      <c r="O122" s="124"/>
      <c r="P122" s="123"/>
      <c r="Q122" s="50" t="s">
        <v>43</v>
      </c>
      <c r="R122" s="122" t="s">
        <v>42</v>
      </c>
      <c r="S122" s="121" t="s">
        <v>41</v>
      </c>
    </row>
    <row r="123" spans="2:19" ht="13.5" thickBot="1">
      <c r="B123" s="120"/>
      <c r="C123" s="119"/>
      <c r="D123" s="118"/>
      <c r="E123" s="117"/>
      <c r="F123" s="116"/>
      <c r="G123" s="115"/>
      <c r="H123" s="115"/>
      <c r="I123" s="114"/>
      <c r="J123" s="113"/>
      <c r="K123" s="113"/>
      <c r="L123" s="14"/>
      <c r="M123" s="112"/>
      <c r="N123" s="112"/>
      <c r="O123" s="43"/>
      <c r="P123" s="111"/>
      <c r="Q123" s="111"/>
      <c r="R123" s="110"/>
      <c r="S123" s="109"/>
    </row>
    <row r="124" spans="2:19">
      <c r="B124" s="108" t="s">
        <v>40</v>
      </c>
      <c r="C124" s="69"/>
      <c r="D124" s="69"/>
      <c r="E124" s="69"/>
      <c r="F124" s="67">
        <f>2746.7/1.18</f>
        <v>2327.7118644067796</v>
      </c>
      <c r="G124" s="66">
        <f>2277.51/1.18</f>
        <v>1930.0932203389834</v>
      </c>
      <c r="H124" s="65">
        <f>(416.9+0)/1.18</f>
        <v>353.30508474576271</v>
      </c>
      <c r="I124" s="64">
        <f>F124+H124</f>
        <v>2681.0169491525421</v>
      </c>
      <c r="J124" s="107"/>
      <c r="K124" s="75"/>
      <c r="L124" s="75"/>
      <c r="M124" s="4"/>
      <c r="N124" s="73"/>
      <c r="O124" s="73"/>
      <c r="P124" s="72"/>
      <c r="Q124" s="72"/>
      <c r="R124" s="70"/>
      <c r="S124" s="79"/>
    </row>
    <row r="125" spans="2:19">
      <c r="B125" s="106" t="s">
        <v>39</v>
      </c>
      <c r="C125" s="57"/>
      <c r="D125" s="57"/>
      <c r="E125" s="57"/>
      <c r="F125" s="67">
        <f>1248.5/1.18</f>
        <v>1058.0508474576272</v>
      </c>
      <c r="G125" s="66">
        <f>1289.59/1.18</f>
        <v>1092.8728813559321</v>
      </c>
      <c r="H125" s="65">
        <f>(189.5+0)/1.18</f>
        <v>160.59322033898306</v>
      </c>
      <c r="I125" s="64">
        <f>F125+H125</f>
        <v>1218.6440677966102</v>
      </c>
      <c r="J125" s="63"/>
      <c r="K125" s="63"/>
      <c r="L125" s="63"/>
      <c r="M125" s="62"/>
      <c r="N125" s="62"/>
      <c r="O125" s="62"/>
      <c r="P125" s="6"/>
      <c r="Q125" s="6"/>
      <c r="R125" s="60"/>
      <c r="S125" s="59"/>
    </row>
    <row r="126" spans="2:19">
      <c r="B126" s="105" t="s">
        <v>38</v>
      </c>
      <c r="C126" s="57"/>
      <c r="D126" s="57"/>
      <c r="E126" s="57"/>
      <c r="F126" s="67">
        <f>287.6/1.18</f>
        <v>243.72881355932208</v>
      </c>
      <c r="G126" s="66">
        <f>181.8/1.18</f>
        <v>154.06779661016952</v>
      </c>
      <c r="H126" s="65">
        <f>(37.9+0)/1.18</f>
        <v>32.118644067796609</v>
      </c>
      <c r="I126" s="64">
        <f>F126+H126</f>
        <v>275.84745762711867</v>
      </c>
      <c r="J126" s="63"/>
      <c r="K126" s="63"/>
      <c r="L126" s="63"/>
      <c r="M126" s="62"/>
      <c r="N126" s="62"/>
      <c r="O126" s="62"/>
      <c r="P126" s="6"/>
      <c r="Q126" s="104"/>
      <c r="R126" s="103"/>
      <c r="S126" s="59"/>
    </row>
    <row r="127" spans="2:19" ht="13.5" thickBot="1">
      <c r="B127" s="102"/>
      <c r="C127" s="25"/>
      <c r="D127" s="25"/>
      <c r="E127" s="56" t="s">
        <v>28</v>
      </c>
      <c r="F127" s="55">
        <f>SUM(F124:F126)</f>
        <v>3629.4915254237289</v>
      </c>
      <c r="G127" s="54">
        <f>SUM(G124:G126)</f>
        <v>3177.0338983050851</v>
      </c>
      <c r="H127" s="54">
        <f>SUM(H124:H126)</f>
        <v>546.01694915254234</v>
      </c>
      <c r="I127" s="53">
        <f>SUM(I124:I126)</f>
        <v>4175.5084745762706</v>
      </c>
      <c r="J127" s="52" t="s">
        <v>28</v>
      </c>
      <c r="K127" s="52"/>
      <c r="L127" s="51"/>
      <c r="M127" s="101"/>
      <c r="N127" s="101"/>
      <c r="O127" s="101"/>
      <c r="P127" s="100"/>
      <c r="Q127" s="99">
        <f>SUM(Q124:Q125)</f>
        <v>0</v>
      </c>
      <c r="R127" s="98">
        <f>I127-Q127</f>
        <v>4175.5084745762706</v>
      </c>
      <c r="S127" s="97">
        <f>G127+H127-Q127</f>
        <v>3723.0508474576272</v>
      </c>
    </row>
    <row r="128" spans="2:19">
      <c r="B128" s="90" t="s">
        <v>37</v>
      </c>
      <c r="C128" s="92"/>
      <c r="D128" s="91"/>
      <c r="E128" s="37"/>
      <c r="F128" s="96"/>
      <c r="G128" s="95"/>
      <c r="H128" s="95"/>
      <c r="I128" s="94"/>
      <c r="J128" s="85"/>
      <c r="K128" s="85"/>
      <c r="L128" s="84"/>
      <c r="M128" s="83"/>
      <c r="N128" s="83"/>
      <c r="O128" s="82"/>
      <c r="P128" s="81"/>
      <c r="Q128" s="81"/>
      <c r="R128" s="80"/>
      <c r="S128" s="79"/>
    </row>
    <row r="129" spans="2:19">
      <c r="B129" s="58" t="s">
        <v>36</v>
      </c>
      <c r="C129" s="78"/>
      <c r="D129" s="57"/>
      <c r="E129" s="77"/>
      <c r="F129" s="67">
        <v>499.4</v>
      </c>
      <c r="G129" s="66">
        <v>0</v>
      </c>
      <c r="H129" s="65">
        <v>75.8</v>
      </c>
      <c r="I129" s="64">
        <f>F129+H129</f>
        <v>575.19999999999993</v>
      </c>
      <c r="J129" s="76"/>
      <c r="K129" s="76"/>
      <c r="L129" s="75"/>
      <c r="M129" s="74"/>
      <c r="N129" s="74"/>
      <c r="O129" s="73"/>
      <c r="P129" s="72"/>
      <c r="Q129" s="71"/>
      <c r="R129" s="70"/>
      <c r="S129" s="59"/>
    </row>
    <row r="130" spans="2:19">
      <c r="B130" s="58" t="s">
        <v>33</v>
      </c>
      <c r="C130" s="78"/>
      <c r="D130" s="57"/>
      <c r="E130" s="77"/>
      <c r="F130" s="67">
        <v>249.7</v>
      </c>
      <c r="G130" s="66">
        <v>152.44999999999999</v>
      </c>
      <c r="H130" s="65">
        <v>37.9</v>
      </c>
      <c r="I130" s="64">
        <f>F130+H130</f>
        <v>287.59999999999997</v>
      </c>
      <c r="J130" s="76"/>
      <c r="K130" s="76"/>
      <c r="L130" s="75"/>
      <c r="M130" s="74"/>
      <c r="N130" s="74"/>
      <c r="O130" s="73"/>
      <c r="P130" s="72"/>
      <c r="Q130" s="71"/>
      <c r="R130" s="70"/>
      <c r="S130" s="59"/>
    </row>
    <row r="131" spans="2:19">
      <c r="B131" s="58" t="s">
        <v>23</v>
      </c>
      <c r="C131" s="78"/>
      <c r="D131" s="57"/>
      <c r="E131" s="77"/>
      <c r="F131" s="67">
        <v>249.7</v>
      </c>
      <c r="G131" s="66">
        <v>371.08</v>
      </c>
      <c r="H131" s="65">
        <v>37.9</v>
      </c>
      <c r="I131" s="64">
        <f>F131+H131</f>
        <v>287.59999999999997</v>
      </c>
      <c r="J131" s="76"/>
      <c r="K131" s="76"/>
      <c r="L131" s="75"/>
      <c r="M131" s="74"/>
      <c r="N131" s="74"/>
      <c r="O131" s="73"/>
      <c r="P131" s="72"/>
      <c r="Q131" s="71"/>
      <c r="R131" s="70"/>
      <c r="S131" s="59"/>
    </row>
    <row r="132" spans="2:19">
      <c r="B132" s="58" t="s">
        <v>20</v>
      </c>
      <c r="C132" s="78"/>
      <c r="D132" s="57"/>
      <c r="E132" s="77"/>
      <c r="F132" s="67">
        <v>249.7</v>
      </c>
      <c r="G132" s="66">
        <v>150.08000000000001</v>
      </c>
      <c r="H132" s="65">
        <v>37.9</v>
      </c>
      <c r="I132" s="64">
        <f>F132+H132</f>
        <v>287.59999999999997</v>
      </c>
      <c r="J132" s="76"/>
      <c r="K132" s="76"/>
      <c r="L132" s="75"/>
      <c r="M132" s="74"/>
      <c r="N132" s="74"/>
      <c r="O132" s="73"/>
      <c r="P132" s="72"/>
      <c r="Q132" s="71"/>
      <c r="R132" s="70"/>
      <c r="S132" s="59"/>
    </row>
    <row r="133" spans="2:19">
      <c r="B133" s="58" t="s">
        <v>17</v>
      </c>
      <c r="C133" s="78"/>
      <c r="D133" s="57"/>
      <c r="E133" s="77"/>
      <c r="F133" s="67">
        <v>249.7</v>
      </c>
      <c r="G133" s="66">
        <v>490.21</v>
      </c>
      <c r="H133" s="65">
        <v>37.9</v>
      </c>
      <c r="I133" s="64">
        <f>F133+H133</f>
        <v>287.59999999999997</v>
      </c>
      <c r="J133" s="76"/>
      <c r="K133" s="76"/>
      <c r="L133" s="75"/>
      <c r="M133" s="74"/>
      <c r="N133" s="74"/>
      <c r="O133" s="73"/>
      <c r="P133" s="72"/>
      <c r="Q133" s="71"/>
      <c r="R133" s="70"/>
      <c r="S133" s="59"/>
    </row>
    <row r="134" spans="2:19">
      <c r="B134" s="58" t="s">
        <v>13</v>
      </c>
      <c r="C134" s="78"/>
      <c r="D134" s="57"/>
      <c r="E134" s="77"/>
      <c r="F134" s="67">
        <v>287.60000000000002</v>
      </c>
      <c r="G134" s="66">
        <v>911.39</v>
      </c>
      <c r="H134" s="65">
        <v>0</v>
      </c>
      <c r="I134" s="64">
        <f>F134+H134</f>
        <v>287.60000000000002</v>
      </c>
      <c r="J134" s="76"/>
      <c r="K134" s="76"/>
      <c r="L134" s="75"/>
      <c r="M134" s="74"/>
      <c r="N134" s="74"/>
      <c r="O134" s="73"/>
      <c r="P134" s="72"/>
      <c r="Q134" s="71"/>
      <c r="R134" s="70"/>
      <c r="S134" s="59"/>
    </row>
    <row r="135" spans="2:19">
      <c r="B135" s="58" t="s">
        <v>32</v>
      </c>
      <c r="C135" s="78"/>
      <c r="D135" s="57"/>
      <c r="E135" s="77"/>
      <c r="F135" s="67">
        <v>287.60000000000002</v>
      </c>
      <c r="G135" s="66">
        <v>158.84</v>
      </c>
      <c r="H135" s="65">
        <v>0</v>
      </c>
      <c r="I135" s="64">
        <f>F135+H135</f>
        <v>287.60000000000002</v>
      </c>
      <c r="J135" s="76"/>
      <c r="K135" s="76"/>
      <c r="L135" s="75"/>
      <c r="M135" s="74"/>
      <c r="N135" s="74"/>
      <c r="O135" s="73"/>
      <c r="P135" s="72"/>
      <c r="Q135" s="71"/>
      <c r="R135" s="70"/>
      <c r="S135" s="59"/>
    </row>
    <row r="136" spans="2:19">
      <c r="B136" s="58" t="s">
        <v>2</v>
      </c>
      <c r="C136" s="78"/>
      <c r="D136" s="57"/>
      <c r="E136" s="77"/>
      <c r="F136" s="67">
        <v>287.60000000000002</v>
      </c>
      <c r="G136" s="66">
        <v>338.31</v>
      </c>
      <c r="H136" s="65">
        <v>0</v>
      </c>
      <c r="I136" s="64">
        <f>F136+H136</f>
        <v>287.60000000000002</v>
      </c>
      <c r="J136" s="76"/>
      <c r="K136" s="76"/>
      <c r="L136" s="75"/>
      <c r="M136" s="74"/>
      <c r="N136" s="74"/>
      <c r="O136" s="73"/>
      <c r="P136" s="72"/>
      <c r="Q136" s="71"/>
      <c r="R136" s="70"/>
      <c r="S136" s="59"/>
    </row>
    <row r="137" spans="2:19">
      <c r="B137" s="58" t="s">
        <v>31</v>
      </c>
      <c r="C137" s="78"/>
      <c r="D137" s="57"/>
      <c r="E137" s="77"/>
      <c r="F137" s="67">
        <v>287.60000000000002</v>
      </c>
      <c r="G137" s="66">
        <v>247.79</v>
      </c>
      <c r="H137" s="65">
        <v>0</v>
      </c>
      <c r="I137" s="64">
        <f>F137+H137</f>
        <v>287.60000000000002</v>
      </c>
      <c r="J137" s="76"/>
      <c r="K137" s="76"/>
      <c r="L137" s="75"/>
      <c r="M137" s="74"/>
      <c r="N137" s="74"/>
      <c r="O137" s="73"/>
      <c r="P137" s="72"/>
      <c r="Q137" s="71"/>
      <c r="R137" s="70"/>
      <c r="S137" s="59"/>
    </row>
    <row r="138" spans="2:19">
      <c r="B138" s="58" t="s">
        <v>30</v>
      </c>
      <c r="C138" s="69"/>
      <c r="D138" s="69"/>
      <c r="E138" s="69"/>
      <c r="F138" s="67">
        <v>287.60000000000002</v>
      </c>
      <c r="G138" s="66">
        <v>317.73</v>
      </c>
      <c r="H138" s="65">
        <v>0</v>
      </c>
      <c r="I138" s="64">
        <f>F138+H138</f>
        <v>287.60000000000002</v>
      </c>
      <c r="J138" s="63"/>
      <c r="K138" s="63"/>
      <c r="L138" s="63"/>
      <c r="M138" s="68"/>
      <c r="N138" s="62"/>
      <c r="O138" s="62"/>
      <c r="P138" s="6"/>
      <c r="Q138" s="61"/>
      <c r="R138" s="60"/>
      <c r="S138" s="59"/>
    </row>
    <row r="139" spans="2:19">
      <c r="B139" s="58" t="s">
        <v>29</v>
      </c>
      <c r="C139" s="57"/>
      <c r="D139" s="57"/>
      <c r="E139" s="57"/>
      <c r="F139" s="67">
        <v>287.60000000000002</v>
      </c>
      <c r="G139" s="66">
        <v>292.45999999999998</v>
      </c>
      <c r="H139" s="65">
        <v>0</v>
      </c>
      <c r="I139" s="64">
        <f>F139+H139</f>
        <v>287.60000000000002</v>
      </c>
      <c r="J139" s="63"/>
      <c r="K139" s="63"/>
      <c r="L139" s="63"/>
      <c r="M139" s="62"/>
      <c r="N139" s="62"/>
      <c r="O139" s="62"/>
      <c r="P139" s="6"/>
      <c r="Q139" s="61"/>
      <c r="R139" s="60"/>
      <c r="S139" s="59"/>
    </row>
    <row r="140" spans="2:19" ht="13.5" thickBot="1">
      <c r="B140" s="58"/>
      <c r="C140" s="57"/>
      <c r="D140" s="57"/>
      <c r="E140" s="56" t="s">
        <v>28</v>
      </c>
      <c r="F140" s="55">
        <f>SUM(F129:F139)</f>
        <v>3223.7999999999997</v>
      </c>
      <c r="G140" s="54">
        <f>SUM(G129:G139)</f>
        <v>3430.34</v>
      </c>
      <c r="H140" s="54">
        <f>SUM(H129:H139)</f>
        <v>227.4</v>
      </c>
      <c r="I140" s="53">
        <f>SUM(I129:I139)</f>
        <v>3451.1999999999994</v>
      </c>
      <c r="J140" s="52" t="s">
        <v>28</v>
      </c>
      <c r="K140" s="52"/>
      <c r="L140" s="51"/>
      <c r="M140" s="50"/>
      <c r="N140" s="50"/>
      <c r="O140" s="50"/>
      <c r="P140" s="50"/>
      <c r="Q140" s="49">
        <f>SUM(Q129:Q139)</f>
        <v>0</v>
      </c>
      <c r="R140" s="48">
        <f>I140-Q140</f>
        <v>3451.1999999999994</v>
      </c>
      <c r="S140" s="47">
        <f>G140+H140-Q140</f>
        <v>3657.7400000000002</v>
      </c>
    </row>
    <row r="141" spans="2:19" ht="13.5" thickBot="1">
      <c r="B141" s="46" t="s">
        <v>27</v>
      </c>
      <c r="C141" s="43"/>
      <c r="D141" s="43"/>
      <c r="E141" s="43"/>
      <c r="F141" s="44">
        <f>F127+F140</f>
        <v>6853.2915254237287</v>
      </c>
      <c r="G141" s="45">
        <f>G127+G140</f>
        <v>6607.3738983050853</v>
      </c>
      <c r="H141" s="45">
        <f>H127+H140</f>
        <v>773.41694915254232</v>
      </c>
      <c r="I141" s="44">
        <f>I127+I140</f>
        <v>7626.7084745762695</v>
      </c>
      <c r="J141" s="43"/>
      <c r="K141" s="43"/>
      <c r="L141" s="43"/>
      <c r="M141" s="43"/>
      <c r="N141" s="43"/>
      <c r="O141" s="43"/>
      <c r="P141" s="43"/>
      <c r="Q141" s="42">
        <f>Q127+Q140</f>
        <v>0</v>
      </c>
      <c r="R141" s="41">
        <f>R127+R140</f>
        <v>7626.7084745762695</v>
      </c>
      <c r="S141" s="40">
        <f>S127+S140</f>
        <v>7380.790847457627</v>
      </c>
    </row>
    <row r="142" spans="2:19">
      <c r="B142" s="93" t="s">
        <v>35</v>
      </c>
      <c r="C142" s="92"/>
      <c r="D142" s="91"/>
      <c r="E142" s="90" t="s">
        <v>34</v>
      </c>
      <c r="F142" s="89">
        <v>287.60000000000002</v>
      </c>
      <c r="G142" s="88">
        <v>314.42</v>
      </c>
      <c r="H142" s="87">
        <v>0</v>
      </c>
      <c r="I142" s="86">
        <f>F142+H142</f>
        <v>287.60000000000002</v>
      </c>
      <c r="J142" s="85"/>
      <c r="K142" s="85"/>
      <c r="L142" s="84"/>
      <c r="M142" s="83"/>
      <c r="N142" s="83"/>
      <c r="O142" s="82"/>
      <c r="P142" s="81"/>
      <c r="Q142" s="81">
        <v>0</v>
      </c>
      <c r="R142" s="80"/>
      <c r="S142" s="79"/>
    </row>
    <row r="143" spans="2:19">
      <c r="B143" s="58" t="s">
        <v>26</v>
      </c>
      <c r="C143" s="78"/>
      <c r="D143" s="57"/>
      <c r="E143" s="77"/>
      <c r="F143" s="67">
        <v>287.60000000000002</v>
      </c>
      <c r="G143" s="66">
        <v>315.58</v>
      </c>
      <c r="H143" s="65">
        <v>0</v>
      </c>
      <c r="I143" s="64">
        <f>F143+H143</f>
        <v>287.60000000000002</v>
      </c>
      <c r="J143" s="76"/>
      <c r="K143" s="76"/>
      <c r="L143" s="75"/>
      <c r="M143" s="74"/>
      <c r="N143" s="74"/>
      <c r="O143" s="73"/>
      <c r="P143" s="72"/>
      <c r="Q143" s="71"/>
      <c r="R143" s="70"/>
      <c r="S143" s="59"/>
    </row>
    <row r="144" spans="2:19">
      <c r="B144" s="58" t="s">
        <v>33</v>
      </c>
      <c r="C144" s="78"/>
      <c r="D144" s="57"/>
      <c r="E144" s="77"/>
      <c r="F144" s="67">
        <v>287.60000000000002</v>
      </c>
      <c r="G144" s="66">
        <v>291.92</v>
      </c>
      <c r="H144" s="65">
        <v>0</v>
      </c>
      <c r="I144" s="64">
        <f>F144+H144</f>
        <v>287.60000000000002</v>
      </c>
      <c r="J144" s="76"/>
      <c r="K144" s="76"/>
      <c r="L144" s="75"/>
      <c r="M144" s="74"/>
      <c r="N144" s="74"/>
      <c r="O144" s="73"/>
      <c r="P144" s="72"/>
      <c r="Q144" s="71"/>
      <c r="R144" s="70"/>
      <c r="S144" s="59"/>
    </row>
    <row r="145" spans="1:19">
      <c r="B145" s="58" t="s">
        <v>23</v>
      </c>
      <c r="C145" s="78"/>
      <c r="D145" s="57"/>
      <c r="E145" s="77"/>
      <c r="F145" s="67">
        <v>287.60000000000002</v>
      </c>
      <c r="G145" s="66">
        <v>288.26</v>
      </c>
      <c r="H145" s="65">
        <v>0</v>
      </c>
      <c r="I145" s="64">
        <f>F145+H145</f>
        <v>287.60000000000002</v>
      </c>
      <c r="J145" s="76"/>
      <c r="K145" s="76"/>
      <c r="L145" s="75"/>
      <c r="M145" s="74"/>
      <c r="N145" s="74"/>
      <c r="O145" s="73"/>
      <c r="P145" s="72"/>
      <c r="Q145" s="71"/>
      <c r="R145" s="70"/>
      <c r="S145" s="59"/>
    </row>
    <row r="146" spans="1:19">
      <c r="B146" s="58" t="s">
        <v>20</v>
      </c>
      <c r="C146" s="78"/>
      <c r="D146" s="57"/>
      <c r="E146" s="77"/>
      <c r="F146" s="67">
        <v>287.60000000000002</v>
      </c>
      <c r="G146" s="66">
        <v>286.01</v>
      </c>
      <c r="H146" s="65">
        <v>0</v>
      </c>
      <c r="I146" s="64">
        <f>F146+H146</f>
        <v>287.60000000000002</v>
      </c>
      <c r="J146" s="76"/>
      <c r="K146" s="76"/>
      <c r="L146" s="75"/>
      <c r="M146" s="74"/>
      <c r="N146" s="74"/>
      <c r="O146" s="73"/>
      <c r="P146" s="72"/>
      <c r="Q146" s="71"/>
      <c r="R146" s="70"/>
      <c r="S146" s="59"/>
    </row>
    <row r="147" spans="1:19">
      <c r="B147" s="58" t="s">
        <v>17</v>
      </c>
      <c r="C147" s="78"/>
      <c r="D147" s="57"/>
      <c r="E147" s="77"/>
      <c r="F147" s="67">
        <v>287.60000000000002</v>
      </c>
      <c r="G147" s="66">
        <v>287</v>
      </c>
      <c r="H147" s="65">
        <v>0</v>
      </c>
      <c r="I147" s="64">
        <f>F147+H147</f>
        <v>287.60000000000002</v>
      </c>
      <c r="J147" s="76"/>
      <c r="K147" s="76"/>
      <c r="L147" s="75"/>
      <c r="M147" s="74"/>
      <c r="N147" s="74"/>
      <c r="O147" s="73"/>
      <c r="P147" s="72"/>
      <c r="Q147" s="71"/>
      <c r="R147" s="70"/>
      <c r="S147" s="59"/>
    </row>
    <row r="148" spans="1:19">
      <c r="B148" s="58" t="s">
        <v>13</v>
      </c>
      <c r="C148" s="78"/>
      <c r="D148" s="57"/>
      <c r="E148" s="77"/>
      <c r="F148" s="67">
        <v>287.60000000000002</v>
      </c>
      <c r="G148" s="66">
        <v>288.64</v>
      </c>
      <c r="H148" s="65">
        <v>0</v>
      </c>
      <c r="I148" s="64">
        <f>F148+H148</f>
        <v>287.60000000000002</v>
      </c>
      <c r="J148" s="76"/>
      <c r="K148" s="76"/>
      <c r="L148" s="75"/>
      <c r="M148" s="74"/>
      <c r="N148" s="74"/>
      <c r="O148" s="73"/>
      <c r="P148" s="72"/>
      <c r="Q148" s="71"/>
      <c r="R148" s="70"/>
      <c r="S148" s="59"/>
    </row>
    <row r="149" spans="1:19">
      <c r="B149" s="58" t="s">
        <v>32</v>
      </c>
      <c r="C149" s="78"/>
      <c r="D149" s="57"/>
      <c r="E149" s="77"/>
      <c r="F149" s="67">
        <v>287.60000000000002</v>
      </c>
      <c r="G149" s="66">
        <v>286.94</v>
      </c>
      <c r="H149" s="65"/>
      <c r="I149" s="64">
        <f>F149+H149</f>
        <v>287.60000000000002</v>
      </c>
      <c r="J149" s="76"/>
      <c r="K149" s="76"/>
      <c r="L149" s="75"/>
      <c r="M149" s="74"/>
      <c r="N149" s="74"/>
      <c r="O149" s="73"/>
      <c r="P149" s="72"/>
      <c r="Q149" s="71"/>
      <c r="R149" s="70"/>
      <c r="S149" s="59"/>
    </row>
    <row r="150" spans="1:19">
      <c r="B150" s="58" t="s">
        <v>2</v>
      </c>
      <c r="C150" s="78"/>
      <c r="D150" s="57"/>
      <c r="E150" s="77"/>
      <c r="F150" s="67">
        <v>287.60000000000002</v>
      </c>
      <c r="G150" s="66">
        <v>286.95999999999998</v>
      </c>
      <c r="H150" s="65"/>
      <c r="I150" s="64">
        <f>F150+H150</f>
        <v>287.60000000000002</v>
      </c>
      <c r="J150" s="76"/>
      <c r="K150" s="76"/>
      <c r="L150" s="75"/>
      <c r="M150" s="74"/>
      <c r="N150" s="74"/>
      <c r="O150" s="73"/>
      <c r="P150" s="72"/>
      <c r="Q150" s="71"/>
      <c r="R150" s="70"/>
      <c r="S150" s="59"/>
    </row>
    <row r="151" spans="1:19">
      <c r="B151" s="58" t="s">
        <v>31</v>
      </c>
      <c r="C151" s="78"/>
      <c r="D151" s="57"/>
      <c r="E151" s="77"/>
      <c r="F151" s="67">
        <v>287.60000000000002</v>
      </c>
      <c r="G151" s="66">
        <v>272.17</v>
      </c>
      <c r="H151" s="65"/>
      <c r="I151" s="64">
        <f>F151+H151</f>
        <v>287.60000000000002</v>
      </c>
      <c r="J151" s="76"/>
      <c r="K151" s="76"/>
      <c r="L151" s="75"/>
      <c r="M151" s="74"/>
      <c r="N151" s="74"/>
      <c r="O151" s="73"/>
      <c r="P151" s="72"/>
      <c r="Q151" s="71"/>
      <c r="R151" s="70"/>
      <c r="S151" s="59"/>
    </row>
    <row r="152" spans="1:19">
      <c r="B152" s="58" t="s">
        <v>30</v>
      </c>
      <c r="C152" s="69"/>
      <c r="D152" s="69"/>
      <c r="E152" s="69"/>
      <c r="F152" s="67">
        <v>287.60000000000002</v>
      </c>
      <c r="G152" s="66">
        <v>294.22000000000003</v>
      </c>
      <c r="H152" s="65"/>
      <c r="I152" s="64">
        <f>F152+H152</f>
        <v>287.60000000000002</v>
      </c>
      <c r="J152" s="63"/>
      <c r="K152" s="63"/>
      <c r="L152" s="63"/>
      <c r="M152" s="68"/>
      <c r="N152" s="62"/>
      <c r="O152" s="62"/>
      <c r="P152" s="6"/>
      <c r="Q152" s="61"/>
      <c r="R152" s="60"/>
      <c r="S152" s="59"/>
    </row>
    <row r="153" spans="1:19">
      <c r="B153" s="58" t="s">
        <v>29</v>
      </c>
      <c r="C153" s="57"/>
      <c r="D153" s="57"/>
      <c r="E153" s="57"/>
      <c r="F153" s="67">
        <v>287.60000000000002</v>
      </c>
      <c r="G153" s="66">
        <v>293.89</v>
      </c>
      <c r="H153" s="65"/>
      <c r="I153" s="64">
        <f>F153+H153</f>
        <v>287.60000000000002</v>
      </c>
      <c r="J153" s="63"/>
      <c r="K153" s="63"/>
      <c r="L153" s="63"/>
      <c r="M153" s="62"/>
      <c r="N153" s="62"/>
      <c r="O153" s="62"/>
      <c r="P153" s="6"/>
      <c r="Q153" s="61"/>
      <c r="R153" s="60"/>
      <c r="S153" s="59"/>
    </row>
    <row r="154" spans="1:19" ht="13.5" thickBot="1">
      <c r="B154" s="58"/>
      <c r="C154" s="57"/>
      <c r="D154" s="57"/>
      <c r="E154" s="56" t="s">
        <v>28</v>
      </c>
      <c r="F154" s="55">
        <f>SUM(F142:F153)</f>
        <v>3451.1999999999994</v>
      </c>
      <c r="G154" s="54">
        <f>SUM(G142:G153)</f>
        <v>3506.0099999999998</v>
      </c>
      <c r="H154" s="54">
        <f>SUM(H142:H153)</f>
        <v>0</v>
      </c>
      <c r="I154" s="53">
        <f>SUM(I142:I153)</f>
        <v>3451.1999999999994</v>
      </c>
      <c r="J154" s="52" t="s">
        <v>28</v>
      </c>
      <c r="K154" s="52"/>
      <c r="L154" s="51"/>
      <c r="M154" s="50"/>
      <c r="N154" s="50"/>
      <c r="O154" s="50"/>
      <c r="P154" s="50"/>
      <c r="Q154" s="49">
        <f>SUM(Q142:Q153)</f>
        <v>0</v>
      </c>
      <c r="R154" s="48">
        <f>I154-Q154</f>
        <v>3451.1999999999994</v>
      </c>
      <c r="S154" s="47">
        <f>G154+H154-Q154</f>
        <v>3506.0099999999998</v>
      </c>
    </row>
    <row r="155" spans="1:19" ht="13.5" thickBot="1">
      <c r="B155" s="46" t="s">
        <v>27</v>
      </c>
      <c r="C155" s="43"/>
      <c r="D155" s="43"/>
      <c r="E155" s="43"/>
      <c r="F155" s="44">
        <f>F141+F154</f>
        <v>10304.491525423728</v>
      </c>
      <c r="G155" s="45">
        <f>G141+G154</f>
        <v>10113.383898305085</v>
      </c>
      <c r="H155" s="45">
        <f>H141+H154</f>
        <v>773.41694915254232</v>
      </c>
      <c r="I155" s="44">
        <f>I141+I154</f>
        <v>11077.908474576268</v>
      </c>
      <c r="J155" s="43"/>
      <c r="K155" s="43"/>
      <c r="L155" s="43"/>
      <c r="M155" s="43"/>
      <c r="N155" s="43"/>
      <c r="O155" s="43"/>
      <c r="P155" s="43"/>
      <c r="Q155" s="42">
        <f>Q141+Q154</f>
        <v>0</v>
      </c>
      <c r="R155" s="41">
        <f>R141+R154</f>
        <v>11077.908474576268</v>
      </c>
      <c r="S155" s="40">
        <f>S141+S154</f>
        <v>10886.800847457627</v>
      </c>
    </row>
    <row r="157" spans="1:19" ht="13.5" thickBot="1">
      <c r="A157" s="12" t="s">
        <v>26</v>
      </c>
    </row>
    <row r="158" spans="1:19">
      <c r="A158" s="39" t="s">
        <v>12</v>
      </c>
      <c r="B158" s="38"/>
      <c r="C158" s="37" t="s">
        <v>11</v>
      </c>
      <c r="D158" s="36"/>
      <c r="E158" s="36"/>
      <c r="F158" s="36"/>
      <c r="G158" s="35"/>
      <c r="H158" s="34" t="s">
        <v>10</v>
      </c>
      <c r="I158" s="34" t="s">
        <v>9</v>
      </c>
      <c r="J158" s="33" t="s">
        <v>8</v>
      </c>
    </row>
    <row r="159" spans="1:19" ht="13.5" thickBot="1">
      <c r="A159" s="32" t="s">
        <v>7</v>
      </c>
      <c r="B159" s="31"/>
      <c r="C159" s="30"/>
      <c r="D159" s="30"/>
      <c r="E159" s="30"/>
      <c r="F159" s="30"/>
      <c r="G159" s="29"/>
      <c r="H159" s="20" t="s">
        <v>6</v>
      </c>
      <c r="I159" s="28" t="s">
        <v>5</v>
      </c>
      <c r="J159" s="28"/>
    </row>
    <row r="160" spans="1:19" ht="13.5" thickBot="1">
      <c r="A160" s="27">
        <v>1</v>
      </c>
      <c r="B160" s="24" t="s">
        <v>25</v>
      </c>
      <c r="C160" s="26"/>
      <c r="D160" s="25"/>
      <c r="E160" s="24"/>
      <c r="F160" s="23"/>
      <c r="G160" s="22"/>
      <c r="H160" s="20" t="s">
        <v>24</v>
      </c>
      <c r="I160" s="21">
        <v>142.80000000000001</v>
      </c>
      <c r="J160" s="20">
        <v>609</v>
      </c>
    </row>
    <row r="161" spans="1:10" ht="13.5" thickBot="1">
      <c r="A161" s="19"/>
      <c r="B161" s="18"/>
      <c r="C161" s="14"/>
      <c r="D161" s="14"/>
      <c r="E161" s="14"/>
      <c r="F161" s="17"/>
      <c r="G161" s="16" t="s">
        <v>0</v>
      </c>
      <c r="H161" s="15"/>
      <c r="I161" s="14"/>
      <c r="J161" s="13">
        <f>SUM(J160:J160)</f>
        <v>609</v>
      </c>
    </row>
    <row r="163" spans="1:10" ht="13.5" thickBot="1">
      <c r="A163" s="12" t="s">
        <v>23</v>
      </c>
    </row>
    <row r="164" spans="1:10">
      <c r="A164" s="39" t="s">
        <v>12</v>
      </c>
      <c r="B164" s="38"/>
      <c r="C164" s="37" t="s">
        <v>11</v>
      </c>
      <c r="D164" s="36"/>
      <c r="E164" s="36"/>
      <c r="F164" s="36"/>
      <c r="G164" s="35"/>
      <c r="H164" s="34" t="s">
        <v>10</v>
      </c>
      <c r="I164" s="34" t="s">
        <v>9</v>
      </c>
      <c r="J164" s="33" t="s">
        <v>8</v>
      </c>
    </row>
    <row r="165" spans="1:10" ht="13.5" thickBot="1">
      <c r="A165" s="32" t="s">
        <v>7</v>
      </c>
      <c r="B165" s="31"/>
      <c r="C165" s="30"/>
      <c r="D165" s="30"/>
      <c r="E165" s="30"/>
      <c r="F165" s="30"/>
      <c r="G165" s="29"/>
      <c r="H165" s="20" t="s">
        <v>6</v>
      </c>
      <c r="I165" s="28" t="s">
        <v>5</v>
      </c>
      <c r="J165" s="28"/>
    </row>
    <row r="166" spans="1:10" ht="13.5" thickBot="1">
      <c r="A166" s="27">
        <v>1</v>
      </c>
      <c r="B166" s="24" t="s">
        <v>22</v>
      </c>
      <c r="C166" s="26"/>
      <c r="D166" s="25"/>
      <c r="E166" s="24"/>
      <c r="F166" s="23"/>
      <c r="G166" s="22"/>
      <c r="H166" s="20" t="s">
        <v>21</v>
      </c>
      <c r="I166" s="21">
        <v>0.33</v>
      </c>
      <c r="J166" s="20">
        <v>299</v>
      </c>
    </row>
    <row r="167" spans="1:10" ht="13.5" thickBot="1">
      <c r="A167" s="19"/>
      <c r="B167" s="18"/>
      <c r="C167" s="14"/>
      <c r="D167" s="14"/>
      <c r="E167" s="14"/>
      <c r="F167" s="17"/>
      <c r="G167" s="16" t="s">
        <v>0</v>
      </c>
      <c r="H167" s="15"/>
      <c r="I167" s="14"/>
      <c r="J167" s="13">
        <f>SUM(J166:J166)</f>
        <v>299</v>
      </c>
    </row>
    <row r="169" spans="1:10" ht="13.5" thickBot="1">
      <c r="A169" s="12" t="s">
        <v>20</v>
      </c>
    </row>
    <row r="170" spans="1:10">
      <c r="A170" s="39" t="s">
        <v>12</v>
      </c>
      <c r="B170" s="38"/>
      <c r="C170" s="37" t="s">
        <v>11</v>
      </c>
      <c r="D170" s="36"/>
      <c r="E170" s="36"/>
      <c r="F170" s="36"/>
      <c r="G170" s="35"/>
      <c r="H170" s="34" t="s">
        <v>10</v>
      </c>
      <c r="I170" s="34" t="s">
        <v>9</v>
      </c>
      <c r="J170" s="33" t="s">
        <v>8</v>
      </c>
    </row>
    <row r="171" spans="1:10" ht="13.5" thickBot="1">
      <c r="A171" s="32" t="s">
        <v>7</v>
      </c>
      <c r="B171" s="31"/>
      <c r="C171" s="30"/>
      <c r="D171" s="30"/>
      <c r="E171" s="30"/>
      <c r="F171" s="30"/>
      <c r="G171" s="29"/>
      <c r="H171" s="20" t="s">
        <v>6</v>
      </c>
      <c r="I171" s="28" t="s">
        <v>5</v>
      </c>
      <c r="J171" s="28"/>
    </row>
    <row r="172" spans="1:10" ht="13.5" thickBot="1">
      <c r="A172" s="27">
        <v>1</v>
      </c>
      <c r="B172" s="24" t="s">
        <v>19</v>
      </c>
      <c r="C172" s="26"/>
      <c r="D172" s="25"/>
      <c r="E172" s="24"/>
      <c r="F172" s="23"/>
      <c r="G172" s="22"/>
      <c r="H172" s="20" t="s">
        <v>18</v>
      </c>
      <c r="I172" s="21">
        <v>23.15</v>
      </c>
      <c r="J172" s="20">
        <v>473</v>
      </c>
    </row>
    <row r="173" spans="1:10" ht="13.5" thickBot="1">
      <c r="A173" s="19"/>
      <c r="B173" s="18"/>
      <c r="C173" s="14"/>
      <c r="D173" s="14"/>
      <c r="E173" s="14"/>
      <c r="F173" s="17"/>
      <c r="G173" s="16" t="s">
        <v>0</v>
      </c>
      <c r="H173" s="15"/>
      <c r="I173" s="14"/>
      <c r="J173" s="13">
        <f>SUM(J172:J172)</f>
        <v>473</v>
      </c>
    </row>
    <row r="175" spans="1:10" ht="13.5" thickBot="1">
      <c r="A175" s="12" t="s">
        <v>17</v>
      </c>
    </row>
    <row r="176" spans="1:10">
      <c r="A176" s="39" t="s">
        <v>12</v>
      </c>
      <c r="B176" s="38"/>
      <c r="C176" s="37" t="s">
        <v>11</v>
      </c>
      <c r="D176" s="36"/>
      <c r="E176" s="36"/>
      <c r="F176" s="36"/>
      <c r="G176" s="35"/>
      <c r="H176" s="34" t="s">
        <v>10</v>
      </c>
      <c r="I176" s="34" t="s">
        <v>9</v>
      </c>
      <c r="J176" s="33" t="s">
        <v>8</v>
      </c>
    </row>
    <row r="177" spans="1:10" ht="13.5" thickBot="1">
      <c r="A177" s="32" t="s">
        <v>7</v>
      </c>
      <c r="B177" s="31"/>
      <c r="C177" s="30"/>
      <c r="D177" s="30"/>
      <c r="E177" s="30"/>
      <c r="F177" s="30"/>
      <c r="G177" s="29"/>
      <c r="H177" s="20" t="s">
        <v>6</v>
      </c>
      <c r="I177" s="28" t="s">
        <v>5</v>
      </c>
      <c r="J177" s="28"/>
    </row>
    <row r="178" spans="1:10" ht="13.5" thickBot="1">
      <c r="A178" s="27">
        <v>1</v>
      </c>
      <c r="B178" s="24" t="s">
        <v>16</v>
      </c>
      <c r="C178" s="26"/>
      <c r="D178" s="25"/>
      <c r="E178" s="24"/>
      <c r="F178" s="23"/>
      <c r="G178" s="22"/>
      <c r="H178" s="20" t="s">
        <v>15</v>
      </c>
      <c r="I178" s="21">
        <v>592</v>
      </c>
      <c r="J178" s="20">
        <v>1238</v>
      </c>
    </row>
    <row r="179" spans="1:10" ht="13.5" thickBot="1">
      <c r="A179" s="27">
        <v>2</v>
      </c>
      <c r="B179" s="24" t="s">
        <v>14</v>
      </c>
      <c r="C179" s="26"/>
      <c r="D179" s="25"/>
      <c r="E179" s="24"/>
      <c r="F179" s="23"/>
      <c r="G179" s="22"/>
      <c r="H179" s="20" t="s">
        <v>3</v>
      </c>
      <c r="I179" s="21">
        <v>4</v>
      </c>
      <c r="J179" s="20">
        <v>126</v>
      </c>
    </row>
    <row r="180" spans="1:10" ht="13.5" thickBot="1">
      <c r="A180" s="19"/>
      <c r="B180" s="18"/>
      <c r="C180" s="14"/>
      <c r="D180" s="14"/>
      <c r="E180" s="14"/>
      <c r="F180" s="17"/>
      <c r="G180" s="16" t="s">
        <v>0</v>
      </c>
      <c r="H180" s="15"/>
      <c r="I180" s="14"/>
      <c r="J180" s="13">
        <f>SUM(J178:J179)</f>
        <v>1364</v>
      </c>
    </row>
    <row r="182" spans="1:10" ht="13.5" thickBot="1">
      <c r="A182" s="12" t="s">
        <v>13</v>
      </c>
    </row>
    <row r="183" spans="1:10">
      <c r="A183" s="39" t="s">
        <v>12</v>
      </c>
      <c r="B183" s="38"/>
      <c r="C183" s="37" t="s">
        <v>11</v>
      </c>
      <c r="D183" s="36"/>
      <c r="E183" s="36"/>
      <c r="F183" s="36"/>
      <c r="G183" s="35"/>
      <c r="H183" s="34" t="s">
        <v>10</v>
      </c>
      <c r="I183" s="34" t="s">
        <v>9</v>
      </c>
      <c r="J183" s="33" t="s">
        <v>8</v>
      </c>
    </row>
    <row r="184" spans="1:10" ht="13.5" thickBot="1">
      <c r="A184" s="32" t="s">
        <v>7</v>
      </c>
      <c r="B184" s="31"/>
      <c r="C184" s="30"/>
      <c r="D184" s="30"/>
      <c r="E184" s="30"/>
      <c r="F184" s="30"/>
      <c r="G184" s="29"/>
      <c r="H184" s="20" t="s">
        <v>6</v>
      </c>
      <c r="I184" s="28" t="s">
        <v>5</v>
      </c>
      <c r="J184" s="28"/>
    </row>
    <row r="185" spans="1:10" ht="13.5" thickBot="1">
      <c r="A185" s="27">
        <v>1</v>
      </c>
      <c r="B185" s="24" t="s">
        <v>4</v>
      </c>
      <c r="C185" s="26"/>
      <c r="D185" s="25"/>
      <c r="E185" s="24"/>
      <c r="F185" s="23"/>
      <c r="G185" s="22"/>
      <c r="H185" s="20" t="s">
        <v>3</v>
      </c>
      <c r="I185" s="21">
        <v>4</v>
      </c>
      <c r="J185" s="20">
        <v>382</v>
      </c>
    </row>
    <row r="186" spans="1:10" ht="13.5" thickBot="1">
      <c r="A186" s="19"/>
      <c r="B186" s="18"/>
      <c r="C186" s="14"/>
      <c r="D186" s="14"/>
      <c r="E186" s="14"/>
      <c r="F186" s="17"/>
      <c r="G186" s="16" t="s">
        <v>0</v>
      </c>
      <c r="H186" s="15"/>
      <c r="I186" s="14"/>
      <c r="J186" s="13">
        <f>SUM(J185:J185)</f>
        <v>382</v>
      </c>
    </row>
    <row r="188" spans="1:10">
      <c r="B188" s="12" t="s">
        <v>2</v>
      </c>
    </row>
    <row r="189" spans="1:10">
      <c r="B189" s="11" t="s">
        <v>1</v>
      </c>
      <c r="C189" s="9"/>
      <c r="D189" s="10"/>
      <c r="E189" s="9"/>
      <c r="F189" s="8"/>
      <c r="G189" s="7"/>
      <c r="H189" s="6">
        <v>721</v>
      </c>
    </row>
    <row r="190" spans="1:10">
      <c r="B190" s="5"/>
      <c r="C190" s="4"/>
      <c r="D190" s="4"/>
      <c r="E190" s="4"/>
      <c r="F190" s="3"/>
      <c r="G190" s="2" t="s">
        <v>0</v>
      </c>
      <c r="H190" s="1">
        <f>SUM(H189)</f>
        <v>721</v>
      </c>
    </row>
  </sheetData>
  <mergeCells count="54">
    <mergeCell ref="N4:R4"/>
    <mergeCell ref="P5:R5"/>
    <mergeCell ref="F11:G11"/>
    <mergeCell ref="A26:B26"/>
    <mergeCell ref="A32:E32"/>
    <mergeCell ref="F32:M32"/>
    <mergeCell ref="F12:G12"/>
    <mergeCell ref="G4:I4"/>
    <mergeCell ref="L4:M4"/>
    <mergeCell ref="D63:E63"/>
    <mergeCell ref="O64:P64"/>
    <mergeCell ref="O65:P65"/>
    <mergeCell ref="D19:G19"/>
    <mergeCell ref="I19:M19"/>
    <mergeCell ref="D20:E20"/>
    <mergeCell ref="Q65:R65"/>
    <mergeCell ref="C33:D33"/>
    <mergeCell ref="A40:R40"/>
    <mergeCell ref="B49:I49"/>
    <mergeCell ref="B50:K50"/>
    <mergeCell ref="A51:A55"/>
    <mergeCell ref="D52:G52"/>
    <mergeCell ref="C55:D55"/>
    <mergeCell ref="C56:D56"/>
    <mergeCell ref="C57:D57"/>
    <mergeCell ref="O66:P66"/>
    <mergeCell ref="Q66:R66"/>
    <mergeCell ref="O67:P67"/>
    <mergeCell ref="Q67:R67"/>
    <mergeCell ref="O68:P68"/>
    <mergeCell ref="Q68:R68"/>
    <mergeCell ref="O69:P69"/>
    <mergeCell ref="Q69:R69"/>
    <mergeCell ref="O70:P70"/>
    <mergeCell ref="Q70:R70"/>
    <mergeCell ref="O71:P71"/>
    <mergeCell ref="Q71:R71"/>
    <mergeCell ref="R120:S120"/>
    <mergeCell ref="B121:E121"/>
    <mergeCell ref="J121:Q121"/>
    <mergeCell ref="R121:S121"/>
    <mergeCell ref="C74:I74"/>
    <mergeCell ref="J74:Q74"/>
    <mergeCell ref="R74:S74"/>
    <mergeCell ref="C75:D75"/>
    <mergeCell ref="M75:Q75"/>
    <mergeCell ref="R75:S75"/>
    <mergeCell ref="J122:P122"/>
    <mergeCell ref="J127:L127"/>
    <mergeCell ref="J140:L140"/>
    <mergeCell ref="J154:L154"/>
    <mergeCell ref="M76:P76"/>
    <mergeCell ref="F120:I120"/>
    <mergeCell ref="J120:Q120"/>
  </mergeCells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Шевченко,1Ж</vt:lpstr>
      <vt:lpstr>'Шевченко,1Ж'!Область_печати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Spawn</dc:creator>
  <cp:lastModifiedBy>Spawn</cp:lastModifiedBy>
  <dcterms:created xsi:type="dcterms:W3CDTF">2012-01-31T15:36:56Z</dcterms:created>
  <dcterms:modified xsi:type="dcterms:W3CDTF">2012-01-31T15:37:20Z</dcterms:modified>
</cp:coreProperties>
</file>